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Per-Round Detail (Base)" sheetId="3" state="visible" r:id="rId3"/>
    <sheet xmlns:r="http://schemas.openxmlformats.org/officeDocument/2006/relationships" name="Season Scenarios" sheetId="4" state="visible" r:id="rId4"/>
    <sheet xmlns:r="http://schemas.openxmlformats.org/officeDocument/2006/relationships" name="Breakeven" sheetId="5" state="visible" r:id="rId5"/>
    <sheet xmlns:r="http://schemas.openxmlformats.org/officeDocument/2006/relationships" name="Growth &amp; Purse ($20M yr)" sheetId="6" state="visible" r:id="rId6"/>
    <sheet xmlns:r="http://schemas.openxmlformats.org/officeDocument/2006/relationships" name="Full-Track Buyout" sheetId="7" state="visible" r:id="rId7"/>
    <sheet xmlns:r="http://schemas.openxmlformats.org/officeDocument/2006/relationships" name="Sources &amp; Method" sheetId="8" state="visible" r:id="rId8"/>
    <sheet xmlns:r="http://schemas.openxmlformats.org/officeDocument/2006/relationships" name="Cap Table Scenario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.0,,&quot;M&quot;"/>
    <numFmt numFmtId="166" formatCode="$#,##0"/>
  </numFmts>
  <fonts count="18">
    <font>
      <name val="Calibri"/>
      <family val="2"/>
      <color theme="1"/>
      <sz val="11"/>
      <scheme val="minor"/>
    </font>
    <font>
      <b val="1"/>
      <color rgb="000D3A26"/>
      <sz val="13"/>
    </font>
    <font>
      <i val="1"/>
      <sz val="9"/>
    </font>
    <font>
      <b val="1"/>
      <color rgb="000D3A26"/>
      <sz val="11"/>
    </font>
    <font>
      <sz val="9"/>
    </font>
    <font>
      <b val="1"/>
    </font>
    <font>
      <b val="1"/>
      <color rgb="00FFFFFF"/>
      <sz val="11"/>
    </font>
    <font>
      <b val="1"/>
      <sz val="12"/>
    </font>
    <font>
      <b val="1"/>
      <color rgb="000D3A26"/>
      <sz val="12"/>
    </font>
    <font/>
    <font>
      <b val="1"/>
      <color rgb="000D3A26"/>
      <sz val="14"/>
    </font>
    <font>
      <i val="1"/>
      <sz val="10"/>
    </font>
    <font>
      <name val="Arial"/>
      <b val="1"/>
      <color rgb="00FFFFFF"/>
      <sz val="14"/>
    </font>
    <font>
      <name val="Arial"/>
      <i val="1"/>
      <color rgb="00666666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0B3D2E"/>
      <sz val="10"/>
    </font>
  </fonts>
  <fills count="10">
    <fill>
      <patternFill/>
    </fill>
    <fill>
      <patternFill patternType="gray125"/>
    </fill>
    <fill>
      <patternFill patternType="solid">
        <fgColor rgb="00E3E8DD"/>
      </patternFill>
    </fill>
    <fill>
      <patternFill patternType="solid">
        <fgColor rgb="001C5E40"/>
      </patternFill>
    </fill>
    <fill>
      <patternFill patternType="solid">
        <fgColor rgb="00EEF3E2"/>
      </patternFill>
    </fill>
    <fill>
      <patternFill patternType="solid">
        <fgColor rgb="00C5E000"/>
      </patternFill>
    </fill>
    <fill>
      <patternFill patternType="solid">
        <fgColor rgb="000B3D2E"/>
      </patternFill>
    </fill>
    <fill>
      <patternFill patternType="solid">
        <fgColor rgb="001F6F54"/>
      </patternFill>
    </fill>
    <fill>
      <patternFill patternType="solid">
        <fgColor rgb="00F2F2F2"/>
      </patternFill>
    </fill>
    <fill>
      <patternFill patternType="solid">
        <fgColor rgb="00FFF6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6" fillId="3" borderId="0" pivotButton="0" quotePrefix="0" xfId="0"/>
    <xf numFmtId="0" fontId="5" fillId="0" borderId="0" pivotButton="0" quotePrefix="0" xfId="0"/>
    <xf numFmtId="3" fontId="7" fillId="5" borderId="0" pivotButton="0" quotePrefix="0" xfId="0"/>
    <xf numFmtId="3" fontId="0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9" fontId="0" fillId="0" borderId="0" pivotButton="0" quotePrefix="0" xfId="0"/>
    <xf numFmtId="0" fontId="6" fillId="3" borderId="0" applyAlignment="1" pivotButton="0" quotePrefix="0" xfId="0">
      <alignment wrapText="1"/>
    </xf>
    <xf numFmtId="3" fontId="5" fillId="4" borderId="0" pivotButton="0" quotePrefix="0" xfId="0"/>
    <xf numFmtId="0" fontId="7" fillId="0" borderId="0" pivotButton="0" quotePrefix="0" xfId="0"/>
    <xf numFmtId="0" fontId="8" fillId="0" borderId="0" pivotButton="0" quotePrefix="0" xfId="0"/>
    <xf numFmtId="3" fontId="5" fillId="5" borderId="0" pivotButton="0" quotePrefix="0" xfId="0"/>
    <xf numFmtId="0" fontId="0" fillId="2" borderId="0" pivotButton="0" quotePrefix="0" xfId="0"/>
    <xf numFmtId="164" fontId="0" fillId="0" borderId="0" pivotButton="0" quotePrefix="0" xfId="0"/>
    <xf numFmtId="3" fontId="7" fillId="0" borderId="0" pivotButton="0" quotePrefix="0" xfId="0"/>
    <xf numFmtId="0" fontId="3" fillId="0" borderId="0" pivotButton="0" quotePrefix="0" xfId="0"/>
    <xf numFmtId="3" fontId="5" fillId="0" borderId="0" pivotButton="0" quotePrefix="0" xfId="0"/>
    <xf numFmtId="0" fontId="4" fillId="0" borderId="0" applyAlignment="1" pivotButton="0" quotePrefix="0" xfId="0">
      <alignment wrapText="1"/>
    </xf>
    <xf numFmtId="0" fontId="9" fillId="0" borderId="0" pivotButton="0" quotePrefix="0" xfId="0"/>
    <xf numFmtId="0" fontId="0" fillId="0" borderId="0" applyAlignment="1" pivotButton="0" quotePrefix="0" xfId="0">
      <alignment wrapText="1"/>
    </xf>
    <xf numFmtId="0" fontId="12" fillId="6" borderId="0" pivotButton="0" quotePrefix="0" xfId="0"/>
    <xf numFmtId="0" fontId="0" fillId="6" borderId="0" pivotButton="0" quotePrefix="0" xfId="0"/>
    <xf numFmtId="0" fontId="13" fillId="0" borderId="0" pivotButton="0" quotePrefix="0" xfId="0"/>
    <xf numFmtId="0" fontId="14" fillId="7" borderId="0" pivotButton="0" quotePrefix="0" xfId="0"/>
    <xf numFmtId="0" fontId="0" fillId="7" borderId="0" pivotButton="0" quotePrefix="0" xfId="0"/>
    <xf numFmtId="0" fontId="15" fillId="8" borderId="1" pivotButton="0" quotePrefix="0" xfId="0"/>
    <xf numFmtId="0" fontId="16" fillId="0" borderId="1" pivotButton="0" quotePrefix="0" xfId="0"/>
    <xf numFmtId="165" fontId="16" fillId="0" borderId="1" pivotButton="0" quotePrefix="0" xfId="0"/>
    <xf numFmtId="165" fontId="0" fillId="9" borderId="1" pivotButton="0" quotePrefix="0" xfId="0"/>
    <xf numFmtId="10" fontId="0" fillId="0" borderId="1" pivotButton="0" quotePrefix="0" xfId="0"/>
    <xf numFmtId="10" fontId="17" fillId="5" borderId="1" pivotButton="0" quotePrefix="0" xfId="0"/>
    <xf numFmtId="165" fontId="0" fillId="0" borderId="1" pivotButton="0" quotePrefix="0" xfId="0"/>
    <xf numFmtId="10" fontId="15" fillId="0" borderId="1" pivotButton="0" quotePrefix="0" xfId="0"/>
    <xf numFmtId="166" fontId="17" fillId="5" borderId="1" pivotButton="0" quotePrefix="0" xfId="0"/>
    <xf numFmtId="0" fontId="15" fillId="8" borderId="0" pivotButton="0" quotePrefix="0" xfId="0"/>
    <xf numFmtId="0" fontId="16" fillId="0" borderId="0" pivotButton="0" quotePrefix="0" xfId="0"/>
    <xf numFmtId="165" fontId="16" fillId="0" borderId="0" pivotButton="0" quotePrefix="0" xfId="0"/>
    <xf numFmtId="164" fontId="16" fillId="9" borderId="0" pivotButton="0" quotePrefix="0" xfId="0"/>
    <xf numFmtId="164" fontId="16" fillId="0" borderId="0" pivotButton="0" quotePrefix="0" xfId="0"/>
    <xf numFmtId="166" fontId="16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THE GT GLOBAL CHAMPIONSHIP — SEASON ECONOMICS v0.1</t>
        </is>
      </c>
    </row>
    <row r="2">
      <c r="A2" s="2" t="inlineStr">
        <is>
          <t>INTERNAL · 2026-07-26, rev 2026-07-30 (FULL-TRACK BUYOUT adopted; memberships = retail) · 9 rounds / 7 countries / staff of 6</t>
        </is>
      </c>
    </row>
    <row r="4">
      <c r="B4" s="3" t="inlineStr">
        <is>
          <t>FULL SPEC — THE BUDGET</t>
        </is>
      </c>
    </row>
    <row r="5">
      <c r="A5" s="4" t="inlineStr">
        <is>
          <t>THE SEASON BUDGET</t>
        </is>
      </c>
      <c r="B5" s="5">
        <f>'Season Scenarios'!B11</f>
        <v/>
      </c>
    </row>
    <row r="6">
      <c r="A6" s="4" t="inlineStr">
        <is>
          <t>Per round</t>
        </is>
      </c>
      <c r="B6" s="6">
        <f>'Season Scenarios'!B11/9</f>
        <v/>
      </c>
    </row>
    <row r="7">
      <c r="A7" s="4" t="inlineStr">
        <is>
          <t>Retail seat reference (÷12 — NOT the funding story)</t>
        </is>
      </c>
      <c r="B7" s="6">
        <f>'Season Scenarios'!B11/12</f>
        <v/>
      </c>
    </row>
    <row r="9">
      <c r="B9" s="3" t="inlineStr">
        <is>
          <t>THE $20M YEAR</t>
        </is>
      </c>
    </row>
    <row r="10">
      <c r="A10" s="4" t="inlineStr">
        <is>
          <t>Growth envelope — purse + media (70%)</t>
        </is>
      </c>
      <c r="B10" s="5" t="n">
        <v>14000000</v>
      </c>
    </row>
    <row r="11">
      <c r="A11" s="4" t="inlineStr">
        <is>
          <t>Season purse ($100K-to-win x9 + $1M champion + $500K Nations Champion's Fund)</t>
        </is>
      </c>
      <c r="B11" s="6" t="n">
        <v>3750000</v>
      </c>
    </row>
    <row r="12">
      <c r="A12" s="4" t="inlineStr">
        <is>
          <t>Media &amp; content</t>
        </is>
      </c>
      <c r="B12" s="6" t="n">
        <v>10250000</v>
      </c>
    </row>
    <row r="13">
      <c r="A13" s="4" t="inlineStr">
        <is>
          <t>Reserve</t>
        </is>
      </c>
      <c r="B13" s="6">
        <f>20000000-B7-'Season Scenarios'!B11</f>
        <v/>
      </c>
    </row>
    <row r="15">
      <c r="A15" s="7" t="inlineStr">
        <is>
          <t>• FULL-TRACK BUYOUT ADOPTED 2026-07-30: nine exclusive 3-day weekends (buffered ceilings), Bathurst = guest round; prior split model retired (provenance on Full-Track Buyout sheet).</t>
        </is>
      </c>
    </row>
    <row r="16">
      <c r="A16" s="7" t="inlineStr">
        <is>
          <t>• MEMBERSHIPS = RETAIL (Peter 2026-07-30): 'no longer part of the big play' — seat revenue is one retail line, never the funding story. The raise carries the program.</t>
        </is>
      </c>
    </row>
    <row r="17">
      <c r="A17" s="7" t="inlineStr">
        <is>
          <t>• FULL SPEC ONLY (Peter 2026-07-26): every line budgeted at its ceiling for maximum wiggle room — racing's last-minute costs are expected, not surprises.</t>
        </is>
      </c>
    </row>
    <row r="18">
      <c r="A18" s="7" t="inlineStr">
        <is>
          <t>• Built-in cushion = ceiling-over-expected (~$1.1M) + 10% contingency (~$395K) = ~$1.5M before anything breaks.</t>
        </is>
      </c>
    </row>
    <row r="19">
      <c r="A19" s="7" t="inlineStr">
        <is>
          <t>• Retail seat reference: budget/12 + arrive-and-drive car programme $100-145K/season (separate file).</t>
        </is>
      </c>
    </row>
    <row r="20">
      <c r="A20" s="7" t="inlineStr">
        <is>
          <t>• Hospitality deliberately weighted: 2 VIP dinners + experiences + livery per round — the Paddock Society DNA. It is the product.</t>
        </is>
      </c>
    </row>
    <row r="21">
      <c r="A21" s="7" t="inlineStr">
        <is>
          <t>• Evidence classes on every input (Inputs tab): PUBLISHED / GOV-AGG / DERIVED / BUDGET / QUOTE-PEND / SET. Replace DERIVED+QUOTE-PEND with real quotes as outreach lands; savings stay in the cushion.</t>
        </is>
      </c>
    </row>
    <row r="22">
      <c r="A22" s="7" t="inlineStr">
        <is>
          <t>• Inputs floor/expected columns = negotiation references only, never presented as budgets.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2" customWidth="1" min="3" max="3"/>
    <col width="12" customWidth="1" min="4" max="4"/>
    <col width="14" customWidth="1" min="5" max="5"/>
    <col width="95" customWidth="1" min="6" max="6"/>
  </cols>
  <sheetData>
    <row r="1">
      <c r="A1" s="8" t="inlineStr">
        <is>
          <t>INPUTS — edit Low/Base/High; every figure tagged by evidence class</t>
        </is>
      </c>
    </row>
    <row r="2" ht="28" customHeight="1">
      <c r="A2" s="9" t="inlineStr">
        <is>
          <t>Tags: PUBLISHED = seen on a fetched source page · GOV/AGG = government per-diem / booking-aggregator data · DERIVED = triangulated from published anchors · BUDGET = spending decision, no market rate exists · QUOTE-PEND = ask out, number pending</t>
        </is>
      </c>
    </row>
    <row r="4">
      <c r="A4" s="10" t="inlineStr">
        <is>
          <t>A · EXCLUSIVE CIRCUIT HIRE + EVENT SERVICES — full-track buyout, buffered (per round, USD)</t>
        </is>
      </c>
      <c r="B4" s="10" t="inlineStr">
        <is>
          <t>Neg. floor</t>
        </is>
      </c>
      <c r="C4" s="10" t="inlineStr">
        <is>
          <t>Expected</t>
        </is>
      </c>
      <c r="D4" s="10" t="inlineStr">
        <is>
          <t>FULL SPEC</t>
        </is>
      </c>
      <c r="E4" s="10" t="inlineStr">
        <is>
          <t>Tag</t>
        </is>
      </c>
      <c r="F4" s="10" t="inlineStr">
        <is>
          <t>Anchor / note</t>
        </is>
      </c>
    </row>
    <row r="5">
      <c r="A5" t="inlineStr">
        <is>
          <t>R1 Road Atlanta (Feb)</t>
        </is>
      </c>
      <c r="B5" s="6" t="n">
        <v>90000</v>
      </c>
      <c r="C5" s="6" t="n">
        <v>130000</v>
      </c>
      <c r="D5" s="6" t="n">
        <v>200000</v>
      </c>
      <c r="E5" t="inlineStr">
        <is>
          <t>DERIVED+buffer</t>
        </is>
      </c>
      <c r="F5" s="7" t="inlineStr">
        <is>
          <t>RA: 2016 $14.5K/day track, 2026-adj + $33K/day services stack -&gt; buffered to COTA turnkey tier</t>
        </is>
      </c>
    </row>
    <row r="6">
      <c r="A6" t="inlineStr">
        <is>
          <t>R2 Silverstone (Mar)</t>
        </is>
      </c>
      <c r="B6" s="6" t="n">
        <v>75000</v>
      </c>
      <c r="C6" s="6" t="n">
        <v>120000</v>
      </c>
      <c r="D6" s="6" t="n">
        <v>200000</v>
      </c>
      <c r="E6" t="inlineStr">
        <is>
          <t>DERIVED</t>
        </is>
      </c>
      <c r="F6" s="7" t="inlineStr">
        <is>
          <t>Silverstone GP: one 2013 figure GBP14K/day, safety/medical/marshalling BUNDLED; max buffer. QUOTE MANDATORY</t>
        </is>
      </c>
    </row>
    <row r="7">
      <c r="A7" t="inlineStr">
        <is>
          <t>R3 Sebring (Apr)</t>
        </is>
      </c>
      <c r="B7" s="6" t="n">
        <v>90000</v>
      </c>
      <c r="C7" s="6" t="n">
        <v>130000</v>
      </c>
      <c r="D7" s="6" t="n">
        <v>200000</v>
      </c>
      <c r="E7" t="inlineStr">
        <is>
          <t>DERIVED+buffer</t>
        </is>
      </c>
      <c r="F7" s="7" t="inlineStr">
        <is>
          <t>Sebring: as R1 ($13K/day 2016 asphalt-only anchor)</t>
        </is>
      </c>
    </row>
    <row r="8">
      <c r="A8" t="inlineStr">
        <is>
          <t>R4 Fuji (Jun)</t>
        </is>
      </c>
      <c r="B8" s="6" t="n">
        <v>150000</v>
      </c>
      <c r="C8" s="6" t="n">
        <v>200000</v>
      </c>
      <c r="D8" s="6" t="n">
        <v>250000</v>
      </c>
      <c r="E8" t="inlineStr">
        <is>
          <t>PUBLISHED+BUDGET</t>
        </is>
      </c>
      <c r="F8" s="7" t="inlineStr">
        <is>
          <t>Fuji official rate card: JPY1.133M/hr weekend ceiling x 9h x 3d ~= $190K track + buffered services</t>
        </is>
      </c>
    </row>
    <row r="9">
      <c r="A9" t="inlineStr">
        <is>
          <t>R5 Mosport (Aug)</t>
        </is>
      </c>
      <c r="B9" s="6" t="n">
        <v>90000</v>
      </c>
      <c r="C9" s="6" t="n">
        <v>130000</v>
      </c>
      <c r="D9" s="6" t="n">
        <v>200000</v>
      </c>
      <c r="E9" t="inlineStr">
        <is>
          <t>PROXY+buffer</t>
        </is>
      </c>
      <c r="F9" s="7" t="inlineStr">
        <is>
          <t>CTMP: Barber-tier proxy ($13.5K/day 2016) -&gt; turnkey tier</t>
        </is>
      </c>
    </row>
    <row r="10">
      <c r="A10" t="inlineStr">
        <is>
          <t>R6 Bathurst (Sep*)</t>
        </is>
      </c>
      <c r="B10" s="6" t="n">
        <v>10000</v>
      </c>
      <c r="C10" s="6" t="n">
        <v>10000</v>
      </c>
      <c r="D10" s="6" t="n">
        <v>10000</v>
      </c>
      <c r="E10" t="inlineStr">
        <is>
          <t>SET</t>
        </is>
      </c>
      <c r="F10" s="7" t="inlineStr">
        <is>
          <t>Bathurst GUEST ROUND (event-entry via Challenge Bathurst) — not privately rentable: Ministerial Order + council-as-promoter; tender from 2028 a future play</t>
        </is>
      </c>
    </row>
    <row r="11">
      <c r="A11" t="inlineStr">
        <is>
          <t>R7 Spa (Oct)</t>
        </is>
      </c>
      <c r="B11" s="6" t="n">
        <v>75000</v>
      </c>
      <c r="C11" s="6" t="n">
        <v>120000</v>
      </c>
      <c r="D11" s="6" t="n">
        <v>200000</v>
      </c>
      <c r="E11" t="inlineStr">
        <is>
          <t>PROXY</t>
        </is>
      </c>
      <c r="F11" s="7" t="inlineStr">
        <is>
          <t>Spa: no rate exists anywhere; Silverstone-model (bundled) proxy, max buffer. QUOTE MANDATORY</t>
        </is>
      </c>
    </row>
    <row r="12">
      <c r="A12" t="inlineStr">
        <is>
          <t>R8 Interlagos (Nov)</t>
        </is>
      </c>
      <c r="B12" s="6" t="n">
        <v>30000</v>
      </c>
      <c r="C12" s="6" t="n">
        <v>50000</v>
      </c>
      <c r="D12" s="6" t="n">
        <v>75000</v>
      </c>
      <c r="E12" t="inlineStr">
        <is>
          <t>PUB-DERIVED+BUDGET</t>
        </is>
      </c>
      <c r="F12" s="7" t="inlineStr">
        <is>
          <t>Interlagos: real municipal contracts ~R$51-78K/3-day (~$10-16K) + buffered CBA federation services</t>
        </is>
      </c>
    </row>
    <row r="13">
      <c r="A13" t="inlineStr">
        <is>
          <t>R9 Homestead (Dec)</t>
        </is>
      </c>
      <c r="B13" s="6" t="n">
        <v>90000</v>
      </c>
      <c r="C13" s="6" t="n">
        <v>130000</v>
      </c>
      <c r="D13" s="6" t="n">
        <v>200000</v>
      </c>
      <c r="E13" t="inlineStr">
        <is>
          <t>PROXY+buffer</t>
        </is>
      </c>
      <c r="F13" s="7" t="inlineStr">
        <is>
          <t>Homestead: Sebring-tier proxy (custom-quote only)</t>
        </is>
      </c>
    </row>
    <row r="15">
      <c r="A15" s="10" t="inlineStr">
        <is>
          <t>B · STAFF TRAVEL — team of 6, 4 nights (per round, USD, Base; Low=x0.80 High=x1.25)</t>
        </is>
      </c>
      <c r="B15" s="10" t="inlineStr">
        <is>
          <t>Neg. floor</t>
        </is>
      </c>
      <c r="C15" s="10" t="inlineStr">
        <is>
          <t>Expected</t>
        </is>
      </c>
      <c r="D15" s="10" t="inlineStr">
        <is>
          <t>FULL SPEC</t>
        </is>
      </c>
      <c r="E15" s="10" t="inlineStr">
        <is>
          <t>Tag</t>
        </is>
      </c>
      <c r="F15" s="10" t="inlineStr">
        <is>
          <t>Anchor / note</t>
        </is>
      </c>
    </row>
    <row r="16">
      <c r="A16" t="inlineStr">
        <is>
          <t>R1 Road Atlanta (Feb)</t>
        </is>
      </c>
      <c r="B16" s="6">
        <f>C16*0.8</f>
        <v/>
      </c>
      <c r="C16" s="6" t="n">
        <v>6938</v>
      </c>
      <c r="D16" s="6">
        <f>C16*1.25</f>
        <v/>
      </c>
      <c r="E16" t="inlineStr">
        <is>
          <t>GOV/AGG</t>
        </is>
      </c>
      <c r="F16" s="7" t="inlineStr">
        <is>
          <t>Staff of 6, 4 nights: real aggregator hotel rates + GSA/State-Dept M&amp;IE + published airfares; IRS $0.76/mi drive rounds. R6 Bathurst = budget estimate (ATL-SYD fare unresearched). Scenario multipliers: Low x0.80 (deals/commuting), High x1.25 (surge).</t>
        </is>
      </c>
    </row>
    <row r="17">
      <c r="A17" t="inlineStr">
        <is>
          <t>R2 Silverstone (Mar)</t>
        </is>
      </c>
      <c r="B17" s="6">
        <f>C17*0.8</f>
        <v/>
      </c>
      <c r="C17" s="6" t="n">
        <v>10632</v>
      </c>
      <c r="D17" s="6">
        <f>C17*1.25</f>
        <v/>
      </c>
      <c r="E17" t="inlineStr">
        <is>
          <t>GOV/AGG</t>
        </is>
      </c>
    </row>
    <row r="18">
      <c r="A18" t="inlineStr">
        <is>
          <t>R3 Sebring (Apr)</t>
        </is>
      </c>
      <c r="B18" s="6">
        <f>C18*0.8</f>
        <v/>
      </c>
      <c r="C18" s="6" t="n">
        <v>8678</v>
      </c>
      <c r="D18" s="6">
        <f>C18*1.25</f>
        <v/>
      </c>
      <c r="E18" t="inlineStr">
        <is>
          <t>GOV/AGG</t>
        </is>
      </c>
    </row>
    <row r="19">
      <c r="A19" t="inlineStr">
        <is>
          <t>R4 Fuji (Jun)</t>
        </is>
      </c>
      <c r="B19" s="6">
        <f>C19*0.8</f>
        <v/>
      </c>
      <c r="C19" s="6" t="n">
        <v>12222</v>
      </c>
      <c r="D19" s="6">
        <f>C19*1.25</f>
        <v/>
      </c>
      <c r="E19" t="inlineStr">
        <is>
          <t>GOV/AGG</t>
        </is>
      </c>
    </row>
    <row r="20">
      <c r="A20" t="inlineStr">
        <is>
          <t>R5 Mosport (Aug)</t>
        </is>
      </c>
      <c r="B20" s="6">
        <f>C20*0.8</f>
        <v/>
      </c>
      <c r="C20" s="6" t="n">
        <v>8184</v>
      </c>
      <c r="D20" s="6">
        <f>C20*1.25</f>
        <v/>
      </c>
      <c r="E20" t="inlineStr">
        <is>
          <t>GOV/AGG</t>
        </is>
      </c>
    </row>
    <row r="21">
      <c r="A21" t="inlineStr">
        <is>
          <t>R6 Bathurst (Sep*)</t>
        </is>
      </c>
      <c r="B21" s="6">
        <f>C21*0.8</f>
        <v/>
      </c>
      <c r="C21" s="6" t="n">
        <v>17000</v>
      </c>
      <c r="D21" s="6">
        <f>C21*1.25</f>
        <v/>
      </c>
      <c r="E21" t="inlineStr">
        <is>
          <t>GOV/AGG</t>
        </is>
      </c>
    </row>
    <row r="22">
      <c r="A22" t="inlineStr">
        <is>
          <t>R7 Spa (Oct)</t>
        </is>
      </c>
      <c r="B22" s="6">
        <f>C22*0.8</f>
        <v/>
      </c>
      <c r="C22" s="6" t="n">
        <v>11148</v>
      </c>
      <c r="D22" s="6">
        <f>C22*1.25</f>
        <v/>
      </c>
      <c r="E22" t="inlineStr">
        <is>
          <t>GOV/AGG</t>
        </is>
      </c>
    </row>
    <row r="23">
      <c r="A23" t="inlineStr">
        <is>
          <t>R8 Interlagos (Nov)</t>
        </is>
      </c>
      <c r="B23" s="6">
        <f>C23*0.8</f>
        <v/>
      </c>
      <c r="C23" s="6" t="n">
        <v>17196</v>
      </c>
      <c r="D23" s="6">
        <f>C23*1.25</f>
        <v/>
      </c>
      <c r="E23" t="inlineStr">
        <is>
          <t>GOV/AGG</t>
        </is>
      </c>
    </row>
    <row r="24">
      <c r="A24" t="inlineStr">
        <is>
          <t>R9 Homestead (Dec)</t>
        </is>
      </c>
      <c r="B24" s="6">
        <f>C24*0.8</f>
        <v/>
      </c>
      <c r="C24" s="6" t="n">
        <v>7470</v>
      </c>
      <c r="D24" s="6">
        <f>C24*1.25</f>
        <v/>
      </c>
      <c r="E24" t="inlineStr">
        <is>
          <t>GOV/AGG</t>
        </is>
      </c>
    </row>
    <row r="26">
      <c r="A26" s="10" t="inlineStr">
        <is>
          <t>C · PER-ROUND OPERATING LINES (same each round, USD)</t>
        </is>
      </c>
      <c r="B26" s="10" t="inlineStr">
        <is>
          <t>Neg. floor</t>
        </is>
      </c>
      <c r="C26" s="10" t="inlineStr">
        <is>
          <t>Expected</t>
        </is>
      </c>
      <c r="D26" s="10" t="inlineStr">
        <is>
          <t>FULL SPEC</t>
        </is>
      </c>
      <c r="E26" s="10" t="inlineStr">
        <is>
          <t>Tag</t>
        </is>
      </c>
      <c r="F26" s="10" t="inlineStr">
        <is>
          <t>Anchor / note</t>
        </is>
      </c>
    </row>
    <row r="27">
      <c r="A27" t="inlineStr">
        <is>
          <t>Event insurance (GL layer)</t>
        </is>
      </c>
      <c r="B27" s="6" t="n">
        <v>2500</v>
      </c>
      <c r="C27" s="6" t="n">
        <v>3500</v>
      </c>
      <c r="D27" s="6" t="n">
        <v>5000</v>
      </c>
      <c r="E27" t="inlineStr">
        <is>
          <t>PUBLISHED</t>
        </is>
      </c>
      <c r="F27" s="7" t="inlineStr">
        <is>
          <t>K&amp;K special-event GL minimum $2,500; package min $5,000</t>
        </is>
      </c>
    </row>
    <row r="28">
      <c r="A28" t="inlineStr">
        <is>
          <t>Sanction / permit fees</t>
        </is>
      </c>
      <c r="B28" s="6" t="n">
        <v>500</v>
      </c>
      <c r="C28" s="6" t="n">
        <v>1500</v>
      </c>
      <c r="D28" s="6" t="n">
        <v>3000</v>
      </c>
      <c r="E28" t="inlineStr">
        <is>
          <t>PUBLISHED</t>
        </is>
      </c>
      <c r="F28" s="7" t="inlineStr">
        <is>
          <t>SCCA $58-62/entry (x24=$1.4K); MSUK +£25-60/capita levy; intl varies</t>
        </is>
      </c>
    </row>
    <row r="29">
      <c r="A29" t="inlineStr">
        <is>
          <t>Contract officials (RD/scrut/steward)</t>
        </is>
      </c>
      <c r="B29" s="6" t="n">
        <v>2000</v>
      </c>
      <c r="C29" s="6" t="n">
        <v>4000</v>
      </c>
      <c r="D29" s="6" t="n">
        <v>6500</v>
      </c>
      <c r="E29" t="inlineStr">
        <is>
          <t>BUDGET</t>
        </is>
      </c>
      <c r="F29" s="7" t="inlineStr">
        <is>
          <t>No published motorsport day rates found (volunteer culture in clubs); pro contract allowance</t>
        </is>
      </c>
    </row>
    <row r="30">
      <c r="A30" t="inlineStr">
        <is>
          <t>Timing operator (per event)</t>
        </is>
      </c>
      <c r="B30" s="6" t="n">
        <v>800</v>
      </c>
      <c r="C30" s="6" t="n">
        <v>1500</v>
      </c>
      <c r="D30" s="6" t="n">
        <v>2500</v>
      </c>
      <c r="E30" t="inlineStr">
        <is>
          <t>BUDGET</t>
        </is>
      </c>
      <c r="F30" s="7" t="inlineStr">
        <is>
          <t>Contractor day-rates unpublished; hardware owned (see fixed)</t>
        </is>
      </c>
    </row>
    <row r="31">
      <c r="A31" t="inlineStr">
        <is>
          <t>Trophies &amp; awards</t>
        </is>
      </c>
      <c r="B31" s="6" t="n">
        <v>200</v>
      </c>
      <c r="C31" s="6" t="n">
        <v>400</v>
      </c>
      <c r="D31" s="6" t="n">
        <v>700</v>
      </c>
      <c r="E31" t="inlineStr">
        <is>
          <t>PUBLISHED</t>
        </is>
      </c>
      <c r="F31" s="7" t="inlineStr">
        <is>
          <t>13 units/round premium tier ($15-25/unit) + engraving/shipping</t>
        </is>
      </c>
    </row>
    <row r="32">
      <c r="A32" t="inlineStr">
        <is>
          <t>Media crew day-rates</t>
        </is>
      </c>
      <c r="B32" s="6" t="n">
        <v>2000</v>
      </c>
      <c r="C32" s="6" t="n">
        <v>3500</v>
      </c>
      <c r="D32" s="6" t="n">
        <v>6000</v>
      </c>
      <c r="E32" t="inlineStr">
        <is>
          <t>PUBLISHED</t>
        </is>
      </c>
      <c r="F32" s="7" t="inlineStr">
        <is>
          <t>2-person video $550/day median + photog $500/day flat x3 days</t>
        </is>
      </c>
    </row>
    <row r="33">
      <c r="A33" t="inlineStr">
        <is>
          <t>VIP evening events — 2 private dinners (~40 guests)</t>
        </is>
      </c>
      <c r="B33" s="6" t="n">
        <v>10000</v>
      </c>
      <c r="C33" s="6" t="n">
        <v>18000</v>
      </c>
      <c r="D33" s="6" t="n">
        <v>32000</v>
      </c>
      <c r="E33" t="inlineStr">
        <is>
          <t>PUBLISHED/BUDGET</t>
        </is>
      </c>
      <c r="F33" s="7" t="inlineStr">
        <is>
          <t>Premium plated $100-200/head + private venue hire — bespoke TPS-grade settings (Ardennes chateau, Hakone ryokan, golden-hour paddock, Sao Paulo rooftop)</t>
        </is>
      </c>
    </row>
    <row r="34">
      <c r="A34" t="inlineStr">
        <is>
          <t>VIP experiences &amp; entertainment</t>
        </is>
      </c>
      <c r="B34" s="6" t="n">
        <v>4000</v>
      </c>
      <c r="C34" s="6" t="n">
        <v>8000</v>
      </c>
      <c r="D34" s="6" t="n">
        <v>18000</v>
      </c>
      <c r="E34" t="inlineStr">
        <is>
          <t>BUDGET</t>
        </is>
      </c>
      <c r="F34" s="7" t="inlineStr">
        <is>
          <t>Entertainment/music, transfers, curated experiences — the bespoke layer is the product, not a perk</t>
        </is>
      </c>
    </row>
    <row r="35">
      <c r="A35" t="inlineStr">
        <is>
          <t>Paddock hospitality / daytime F&amp;B</t>
        </is>
      </c>
      <c r="B35" s="6" t="n">
        <v>3000</v>
      </c>
      <c r="C35" s="6" t="n">
        <v>6000</v>
      </c>
      <c r="D35" s="6" t="n">
        <v>10000</v>
      </c>
      <c r="E35" t="inlineStr">
        <is>
          <t>PUBLISHED</t>
        </is>
      </c>
      <c r="F35" s="7" t="inlineStr">
        <is>
          <t>~40 head x 3 days catering $20-60/head + tent $675-1,125 + furniture</t>
        </is>
      </c>
    </row>
    <row r="36">
      <c r="A36" t="inlineStr">
        <is>
          <t>Fleet livery — print, apply, remove (12 rental cars)</t>
        </is>
      </c>
      <c r="B36" s="6" t="n">
        <v>4800</v>
      </c>
      <c r="C36" s="6" t="n">
        <v>9600</v>
      </c>
      <c r="D36" s="6" t="n">
        <v>18000</v>
      </c>
      <c r="E36" t="inlineStr">
        <is>
          <t>PUBLISHED</t>
        </is>
      </c>
      <c r="F36" s="7" t="inlineStr">
        <is>
          <t>Per car: spot-graphics/sponsor-decal tier $300-1,000, partial-livery $500-1,500 incl removal; removable vinyl mandatory on rental fleets; scales with car count</t>
        </is>
      </c>
    </row>
    <row r="38">
      <c r="A38" s="10" t="inlineStr">
        <is>
          <t>D · FREIGHT &amp; CUSTOMS (season totals, USD)</t>
        </is>
      </c>
      <c r="B38" s="10" t="inlineStr">
        <is>
          <t>Neg. floor</t>
        </is>
      </c>
      <c r="C38" s="10" t="inlineStr">
        <is>
          <t>Expected</t>
        </is>
      </c>
      <c r="D38" s="10" t="inlineStr">
        <is>
          <t>FULL SPEC</t>
        </is>
      </c>
      <c r="E38" s="10" t="inlineStr">
        <is>
          <t>Tag</t>
        </is>
      </c>
      <c r="F38" s="10" t="inlineStr">
        <is>
          <t>Anchor / note</t>
        </is>
      </c>
    </row>
    <row r="39">
      <c r="A39" t="inlineStr">
        <is>
          <t>Air freight kit x4 intl rounds (UK/JP/BE/BR)</t>
        </is>
      </c>
      <c r="B39" s="6" t="n">
        <v>8000</v>
      </c>
      <c r="C39" s="6" t="n">
        <v>11200</v>
      </c>
      <c r="D39" s="6" t="n">
        <v>14000</v>
      </c>
      <c r="E39" t="inlineStr">
        <is>
          <t>PUBLISHED</t>
        </is>
      </c>
      <c r="F39" s="7" t="inlineStr">
        <is>
          <t>$3.5-8/kg lanes, 400kg kit =&gt; ~$2.0-3.5K/round all-in ex-customs</t>
        </is>
      </c>
    </row>
    <row r="40">
      <c r="A40" t="inlineStr">
        <is>
          <t>Canada ground freight (R5)</t>
        </is>
      </c>
      <c r="B40" s="6" t="n">
        <v>200</v>
      </c>
      <c r="C40" s="6" t="n">
        <v>500</v>
      </c>
      <c r="D40" s="6" t="n">
        <v>1000</v>
      </c>
      <c r="E40" t="inlineStr">
        <is>
          <t>PUBLISHED</t>
        </is>
      </c>
      <c r="F40" s="7" t="inlineStr">
        <is>
          <t>Ground $0.12-0.45/kg — drive the kit</t>
        </is>
      </c>
    </row>
    <row r="41">
      <c r="A41" t="inlineStr">
        <is>
          <t>Carnets + Brazil Admissao Temporaria broker</t>
        </is>
      </c>
      <c r="B41" s="6" t="n">
        <v>1500</v>
      </c>
      <c r="C41" s="6" t="n">
        <v>3500</v>
      </c>
      <c r="D41" s="6" t="n">
        <v>6000</v>
      </c>
      <c r="E41" t="inlineStr">
        <is>
          <t>PUBLISHED/BUDGET</t>
        </is>
      </c>
      <c r="F41" s="7" t="inlineStr">
        <is>
          <t>US carnet $365 fee + 1% bond premium ($75K kit); Brazil left ATA system 2022 — broker allowance</t>
        </is>
      </c>
    </row>
    <row r="43">
      <c r="A43" s="10" t="inlineStr">
        <is>
          <t>E · SEASON FIXED (USD)</t>
        </is>
      </c>
      <c r="B43" s="10" t="inlineStr">
        <is>
          <t>Neg. floor</t>
        </is>
      </c>
      <c r="C43" s="10" t="inlineStr">
        <is>
          <t>Expected</t>
        </is>
      </c>
      <c r="D43" s="10" t="inlineStr">
        <is>
          <t>FULL SPEC</t>
        </is>
      </c>
      <c r="E43" s="10" t="inlineStr">
        <is>
          <t>Tag</t>
        </is>
      </c>
      <c r="F43" s="10" t="inlineStr">
        <is>
          <t>Anchor / note</t>
        </is>
      </c>
    </row>
    <row r="44">
      <c r="A44" t="inlineStr">
        <is>
          <t>Salary — CEO (Peter)</t>
        </is>
      </c>
      <c r="B44" s="6" t="n">
        <v>150000</v>
      </c>
      <c r="C44" s="6" t="n">
        <v>150000</v>
      </c>
      <c r="D44" s="6" t="n">
        <v>150000</v>
      </c>
      <c r="E44" t="inlineStr">
        <is>
          <t>SET</t>
        </is>
      </c>
      <c r="F44" s="7" t="inlineStr">
        <is>
          <t>Org chart set by founder 2026-07-26; CEO revised 250K-&gt;150K same day</t>
        </is>
      </c>
    </row>
    <row r="45">
      <c r="A45" t="inlineStr">
        <is>
          <t>Salary — CFO</t>
        </is>
      </c>
      <c r="B45" s="6" t="n">
        <v>180000</v>
      </c>
      <c r="C45" s="6" t="n">
        <v>180000</v>
      </c>
      <c r="D45" s="6" t="n">
        <v>180000</v>
      </c>
      <c r="E45" t="inlineStr">
        <is>
          <t>SET</t>
        </is>
      </c>
      <c r="F45" s="7" t="inlineStr"/>
    </row>
    <row r="46">
      <c r="A46" t="inlineStr">
        <is>
          <t>Salary — COO</t>
        </is>
      </c>
      <c r="B46" s="6" t="n">
        <v>180000</v>
      </c>
      <c r="C46" s="6" t="n">
        <v>180000</v>
      </c>
      <c r="D46" s="6" t="n">
        <v>180000</v>
      </c>
      <c r="E46" t="inlineStr">
        <is>
          <t>SET</t>
        </is>
      </c>
      <c r="F46" s="7" t="inlineStr"/>
    </row>
    <row r="47">
      <c r="A47" t="inlineStr">
        <is>
          <t>Salary — VP Events</t>
        </is>
      </c>
      <c r="B47" s="6" t="n">
        <v>150000</v>
      </c>
      <c r="C47" s="6" t="n">
        <v>150000</v>
      </c>
      <c r="D47" s="6" t="n">
        <v>150000</v>
      </c>
      <c r="E47" t="inlineStr">
        <is>
          <t>SET</t>
        </is>
      </c>
      <c r="F47" s="7" t="inlineStr"/>
    </row>
    <row r="48">
      <c r="A48" t="inlineStr">
        <is>
          <t>Salary — Admin</t>
        </is>
      </c>
      <c r="B48" s="6" t="n">
        <v>120000</v>
      </c>
      <c r="C48" s="6" t="n">
        <v>120000</v>
      </c>
      <c r="D48" s="6" t="n">
        <v>120000</v>
      </c>
      <c r="E48" t="inlineStr">
        <is>
          <t>SET</t>
        </is>
      </c>
      <c r="F48" s="7" t="inlineStr"/>
    </row>
    <row r="49">
      <c r="A49" t="inlineStr">
        <is>
          <t>Salary — Social Media</t>
        </is>
      </c>
      <c r="B49" s="6" t="n">
        <v>80000</v>
      </c>
      <c r="C49" s="6" t="n">
        <v>80000</v>
      </c>
      <c r="D49" s="6" t="n">
        <v>80000</v>
      </c>
      <c r="E49" t="inlineStr">
        <is>
          <t>SET</t>
        </is>
      </c>
      <c r="F49" s="7" t="inlineStr"/>
    </row>
    <row r="50">
      <c r="A50" t="inlineStr">
        <is>
          <t>Salary — Editor</t>
        </is>
      </c>
      <c r="B50" s="6" t="n">
        <v>80000</v>
      </c>
      <c r="C50" s="6" t="n">
        <v>80000</v>
      </c>
      <c r="D50" s="6" t="n">
        <v>80000</v>
      </c>
      <c r="E50" t="inlineStr">
        <is>
          <t>SET</t>
        </is>
      </c>
      <c r="F50" s="7" t="inlineStr"/>
    </row>
    <row r="51">
      <c r="A51" t="inlineStr">
        <is>
          <t>Payroll taxes &amp; benefits</t>
        </is>
      </c>
      <c r="B51" s="6" t="n">
        <v>94000</v>
      </c>
      <c r="C51" s="6" t="n">
        <v>141000</v>
      </c>
      <c r="D51" s="6" t="n">
        <v>188000</v>
      </c>
      <c r="E51" t="inlineStr">
        <is>
          <t>BUDGET</t>
        </is>
      </c>
      <c r="F51" s="7" t="inlineStr">
        <is>
          <t>10% / 15% / 20% employer burden on $940K payroll</t>
        </is>
      </c>
    </row>
    <row r="52">
      <c r="A52" t="inlineStr">
        <is>
          <t>Annual series GL umbrella</t>
        </is>
      </c>
      <c r="B52" s="6" t="n">
        <v>10000</v>
      </c>
      <c r="C52" s="6" t="n">
        <v>20000</v>
      </c>
      <c r="D52" s="6" t="n">
        <v>35000</v>
      </c>
      <c r="E52" t="inlineStr">
        <is>
          <t>QUOTE-PEND</t>
        </is>
      </c>
      <c r="F52" s="7" t="inlineStr">
        <is>
          <t>No published series-organizer annual GL anywhere; broker quote required</t>
        </is>
      </c>
    </row>
    <row r="53">
      <c r="A53" t="inlineStr">
        <is>
          <t>Timing hardware (yr-1 capex)</t>
        </is>
      </c>
      <c r="B53" s="6" t="n">
        <v>5000</v>
      </c>
      <c r="C53" s="6" t="n">
        <v>16000</v>
      </c>
      <c r="D53" s="6" t="n">
        <v>20000</v>
      </c>
      <c r="E53" t="inlineStr">
        <is>
          <t>PUBLISHED</t>
        </is>
      </c>
      <c r="F53" s="7" t="inlineStr">
        <is>
          <t>MYLAPS X2 club server+decoder $4,876 + 12 loaner TR2 transponders ($895 ea) vs rent</t>
        </is>
      </c>
    </row>
    <row r="54">
      <c r="A54" t="inlineStr">
        <is>
          <t>Branding / signage kit</t>
        </is>
      </c>
      <c r="B54" s="6" t="n">
        <v>3000</v>
      </c>
      <c r="C54" s="6" t="n">
        <v>6000</v>
      </c>
      <c r="D54" s="6" t="n">
        <v>10000</v>
      </c>
      <c r="E54" t="inlineStr">
        <is>
          <t>PUBLISHED</t>
        </is>
      </c>
      <c r="F54" s="7" t="inlineStr">
        <is>
          <t>Custom 10x10 canopies $350-600, feather flags, banners $3-8/sqft, number panels</t>
        </is>
      </c>
    </row>
    <row r="55">
      <c r="A55" t="inlineStr">
        <is>
          <t>Waivers &amp; entry software</t>
        </is>
      </c>
      <c r="B55" s="6" t="n">
        <v>600</v>
      </c>
      <c r="C55" s="6" t="n">
        <v>1000</v>
      </c>
      <c r="D55" s="6" t="n">
        <v>2000</v>
      </c>
      <c r="E55" t="inlineStr">
        <is>
          <t>PUBLISHED</t>
        </is>
      </c>
      <c r="F55" s="7" t="inlineStr">
        <is>
          <t>SpeedWaiver $20-45/mo tier; entry via GarageID/MotorsportReg commission</t>
        </is>
      </c>
    </row>
    <row r="56">
      <c r="A56" t="inlineStr">
        <is>
          <t>Marketing &amp; advertising (ops layer)</t>
        </is>
      </c>
      <c r="B56" s="6" t="n">
        <v>25000</v>
      </c>
      <c r="C56" s="6" t="n">
        <v>60000</v>
      </c>
      <c r="D56" s="6" t="n">
        <v>120000</v>
      </c>
      <c r="E56" t="inlineStr">
        <is>
          <t>BUDGET-CHOICE</t>
        </is>
      </c>
      <c r="F56" s="7" t="inlineStr">
        <is>
          <t>Local/event promo only — growth marketing ($10.75M media + $3.25M purse) lives on the Growth &amp; Purse sheet</t>
        </is>
      </c>
    </row>
    <row r="57">
      <c r="A57" t="inlineStr">
        <is>
          <t>Legal / regs / entity / accounting</t>
        </is>
      </c>
      <c r="B57" s="6" t="n">
        <v>10000</v>
      </c>
      <c r="C57" s="6" t="n">
        <v>20000</v>
      </c>
      <c r="D57" s="6" t="n">
        <v>35000</v>
      </c>
      <c r="E57" t="inlineStr">
        <is>
          <t>BUDGET</t>
        </is>
      </c>
      <c r="F57" s="7" t="inlineStr">
        <is>
          <t>Regs counsel, entry contracts, multi-jurisdiction review</t>
        </is>
      </c>
    </row>
    <row r="59">
      <c r="A59" s="4" t="inlineStr">
        <is>
          <t>Contingency rate</t>
        </is>
      </c>
      <c r="C59" s="11" t="n">
        <v>0.1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</cols>
  <sheetData>
    <row r="1">
      <c r="A1" s="8" t="inlineStr">
        <is>
          <t>PER-ROUND COST DETAIL — Base scenario (edit on Inputs tab)</t>
        </is>
      </c>
    </row>
    <row r="3">
      <c r="A3" s="12" t="inlineStr">
        <is>
          <t>Cost line</t>
        </is>
      </c>
      <c r="B3" s="12" t="inlineStr">
        <is>
          <t>R1 Road Atlanta</t>
        </is>
      </c>
      <c r="C3" s="12" t="inlineStr">
        <is>
          <t>R2 Silverstone</t>
        </is>
      </c>
      <c r="D3" s="12" t="inlineStr">
        <is>
          <t>R3 Sebring</t>
        </is>
      </c>
      <c r="E3" s="12" t="inlineStr">
        <is>
          <t>R4 Fuji</t>
        </is>
      </c>
      <c r="F3" s="12" t="inlineStr">
        <is>
          <t>R5 Mosport</t>
        </is>
      </c>
      <c r="G3" s="12" t="inlineStr">
        <is>
          <t>R6 Bathurst</t>
        </is>
      </c>
      <c r="H3" s="12" t="inlineStr">
        <is>
          <t>R7 Spa</t>
        </is>
      </c>
      <c r="I3" s="12" t="inlineStr">
        <is>
          <t>R8 Interlagos</t>
        </is>
      </c>
      <c r="J3" s="12" t="inlineStr">
        <is>
          <t>R9 Homestead</t>
        </is>
      </c>
      <c r="K3" s="12" t="inlineStr">
        <is>
          <t>Season</t>
        </is>
      </c>
    </row>
    <row r="4">
      <c r="A4" s="4" t="inlineStr">
        <is>
          <t>Track split / session block</t>
        </is>
      </c>
      <c r="B4" s="6">
        <f>Inputs!C5</f>
        <v/>
      </c>
      <c r="C4" s="6">
        <f>Inputs!C6</f>
        <v/>
      </c>
      <c r="D4" s="6">
        <f>Inputs!C7</f>
        <v/>
      </c>
      <c r="E4" s="6">
        <f>Inputs!C8</f>
        <v/>
      </c>
      <c r="F4" s="6">
        <f>Inputs!C9</f>
        <v/>
      </c>
      <c r="G4" s="6">
        <f>Inputs!C10</f>
        <v/>
      </c>
      <c r="H4" s="6">
        <f>Inputs!C11</f>
        <v/>
      </c>
      <c r="I4" s="6">
        <f>Inputs!C12</f>
        <v/>
      </c>
      <c r="J4" s="6">
        <f>Inputs!C13</f>
        <v/>
      </c>
      <c r="K4" s="6">
        <f>SUM(B4:J4)</f>
        <v/>
      </c>
    </row>
    <row r="5">
      <c r="A5" s="4" t="inlineStr">
        <is>
          <t>Staff travel (6 pax)</t>
        </is>
      </c>
      <c r="B5" s="6">
        <f>Inputs!C16</f>
        <v/>
      </c>
      <c r="C5" s="6">
        <f>Inputs!C17</f>
        <v/>
      </c>
      <c r="D5" s="6">
        <f>Inputs!C18</f>
        <v/>
      </c>
      <c r="E5" s="6">
        <f>Inputs!C19</f>
        <v/>
      </c>
      <c r="F5" s="6">
        <f>Inputs!C20</f>
        <v/>
      </c>
      <c r="G5" s="6">
        <f>Inputs!C21</f>
        <v/>
      </c>
      <c r="H5" s="6">
        <f>Inputs!C22</f>
        <v/>
      </c>
      <c r="I5" s="6">
        <f>Inputs!C23</f>
        <v/>
      </c>
      <c r="J5" s="6">
        <f>Inputs!C24</f>
        <v/>
      </c>
      <c r="K5" s="6">
        <f>SUM(B5:J5)</f>
        <v/>
      </c>
    </row>
    <row r="6">
      <c r="A6" t="inlineStr">
        <is>
          <t>Event insurance (GL layer)</t>
        </is>
      </c>
      <c r="B6" s="6">
        <f>Inputs!C27</f>
        <v/>
      </c>
      <c r="C6" s="6">
        <f>Inputs!C27</f>
        <v/>
      </c>
      <c r="D6" s="6">
        <f>Inputs!C27</f>
        <v/>
      </c>
      <c r="E6" s="6">
        <f>Inputs!C27</f>
        <v/>
      </c>
      <c r="F6" s="6">
        <f>Inputs!C27</f>
        <v/>
      </c>
      <c r="G6" s="6">
        <f>Inputs!C27</f>
        <v/>
      </c>
      <c r="H6" s="6">
        <f>Inputs!C27</f>
        <v/>
      </c>
      <c r="I6" s="6">
        <f>Inputs!C27</f>
        <v/>
      </c>
      <c r="J6" s="6">
        <f>Inputs!C27</f>
        <v/>
      </c>
      <c r="K6" s="6">
        <f>SUM(B6:J6)</f>
        <v/>
      </c>
    </row>
    <row r="7">
      <c r="A7" t="inlineStr">
        <is>
          <t>Sanction / permit fees</t>
        </is>
      </c>
      <c r="B7" s="6">
        <f>Inputs!C28</f>
        <v/>
      </c>
      <c r="C7" s="6">
        <f>Inputs!C28</f>
        <v/>
      </c>
      <c r="D7" s="6">
        <f>Inputs!C28</f>
        <v/>
      </c>
      <c r="E7" s="6">
        <f>Inputs!C28</f>
        <v/>
      </c>
      <c r="F7" s="6">
        <f>Inputs!C28</f>
        <v/>
      </c>
      <c r="G7" s="6">
        <f>Inputs!C28</f>
        <v/>
      </c>
      <c r="H7" s="6">
        <f>Inputs!C28</f>
        <v/>
      </c>
      <c r="I7" s="6">
        <f>Inputs!C28</f>
        <v/>
      </c>
      <c r="J7" s="6">
        <f>Inputs!C28</f>
        <v/>
      </c>
      <c r="K7" s="6">
        <f>SUM(B7:J7)</f>
        <v/>
      </c>
    </row>
    <row r="8">
      <c r="A8" t="inlineStr">
        <is>
          <t>Contract officials (RD/scrut/steward)</t>
        </is>
      </c>
      <c r="B8" s="6">
        <f>Inputs!C29</f>
        <v/>
      </c>
      <c r="C8" s="6">
        <f>Inputs!C29</f>
        <v/>
      </c>
      <c r="D8" s="6">
        <f>Inputs!C29</f>
        <v/>
      </c>
      <c r="E8" s="6">
        <f>Inputs!C29</f>
        <v/>
      </c>
      <c r="F8" s="6">
        <f>Inputs!C29</f>
        <v/>
      </c>
      <c r="G8" s="6">
        <f>Inputs!C29</f>
        <v/>
      </c>
      <c r="H8" s="6">
        <f>Inputs!C29</f>
        <v/>
      </c>
      <c r="I8" s="6">
        <f>Inputs!C29</f>
        <v/>
      </c>
      <c r="J8" s="6">
        <f>Inputs!C29</f>
        <v/>
      </c>
      <c r="K8" s="6">
        <f>SUM(B8:J8)</f>
        <v/>
      </c>
    </row>
    <row r="9">
      <c r="A9" t="inlineStr">
        <is>
          <t>Timing operator (per event)</t>
        </is>
      </c>
      <c r="B9" s="6">
        <f>Inputs!C30</f>
        <v/>
      </c>
      <c r="C9" s="6">
        <f>Inputs!C30</f>
        <v/>
      </c>
      <c r="D9" s="6">
        <f>Inputs!C30</f>
        <v/>
      </c>
      <c r="E9" s="6">
        <f>Inputs!C30</f>
        <v/>
      </c>
      <c r="F9" s="6">
        <f>Inputs!C30</f>
        <v/>
      </c>
      <c r="G9" s="6">
        <f>Inputs!C30</f>
        <v/>
      </c>
      <c r="H9" s="6">
        <f>Inputs!C30</f>
        <v/>
      </c>
      <c r="I9" s="6">
        <f>Inputs!C30</f>
        <v/>
      </c>
      <c r="J9" s="6">
        <f>Inputs!C30</f>
        <v/>
      </c>
      <c r="K9" s="6">
        <f>SUM(B9:J9)</f>
        <v/>
      </c>
    </row>
    <row r="10">
      <c r="A10" t="inlineStr">
        <is>
          <t>Trophies &amp; awards</t>
        </is>
      </c>
      <c r="B10" s="6">
        <f>Inputs!C31</f>
        <v/>
      </c>
      <c r="C10" s="6">
        <f>Inputs!C31</f>
        <v/>
      </c>
      <c r="D10" s="6">
        <f>Inputs!C31</f>
        <v/>
      </c>
      <c r="E10" s="6">
        <f>Inputs!C31</f>
        <v/>
      </c>
      <c r="F10" s="6">
        <f>Inputs!C31</f>
        <v/>
      </c>
      <c r="G10" s="6">
        <f>Inputs!C31</f>
        <v/>
      </c>
      <c r="H10" s="6">
        <f>Inputs!C31</f>
        <v/>
      </c>
      <c r="I10" s="6">
        <f>Inputs!C31</f>
        <v/>
      </c>
      <c r="J10" s="6">
        <f>Inputs!C31</f>
        <v/>
      </c>
      <c r="K10" s="6">
        <f>SUM(B10:J10)</f>
        <v/>
      </c>
    </row>
    <row r="11">
      <c r="A11" t="inlineStr">
        <is>
          <t>Media crew day-rates</t>
        </is>
      </c>
      <c r="B11" s="6">
        <f>Inputs!C32</f>
        <v/>
      </c>
      <c r="C11" s="6">
        <f>Inputs!C32</f>
        <v/>
      </c>
      <c r="D11" s="6">
        <f>Inputs!C32</f>
        <v/>
      </c>
      <c r="E11" s="6">
        <f>Inputs!C32</f>
        <v/>
      </c>
      <c r="F11" s="6">
        <f>Inputs!C32</f>
        <v/>
      </c>
      <c r="G11" s="6">
        <f>Inputs!C32</f>
        <v/>
      </c>
      <c r="H11" s="6">
        <f>Inputs!C32</f>
        <v/>
      </c>
      <c r="I11" s="6">
        <f>Inputs!C32</f>
        <v/>
      </c>
      <c r="J11" s="6">
        <f>Inputs!C32</f>
        <v/>
      </c>
      <c r="K11" s="6">
        <f>SUM(B11:J11)</f>
        <v/>
      </c>
    </row>
    <row r="12">
      <c r="A12" t="inlineStr">
        <is>
          <t>VIP evening events — 2 private dinners (~40 guests)</t>
        </is>
      </c>
      <c r="B12" s="6">
        <f>Inputs!C33</f>
        <v/>
      </c>
      <c r="C12" s="6">
        <f>Inputs!C33</f>
        <v/>
      </c>
      <c r="D12" s="6">
        <f>Inputs!C33</f>
        <v/>
      </c>
      <c r="E12" s="6">
        <f>Inputs!C33</f>
        <v/>
      </c>
      <c r="F12" s="6">
        <f>Inputs!C33</f>
        <v/>
      </c>
      <c r="G12" s="6">
        <f>Inputs!C33</f>
        <v/>
      </c>
      <c r="H12" s="6">
        <f>Inputs!C33</f>
        <v/>
      </c>
      <c r="I12" s="6">
        <f>Inputs!C33</f>
        <v/>
      </c>
      <c r="J12" s="6">
        <f>Inputs!C33</f>
        <v/>
      </c>
      <c r="K12" s="6">
        <f>SUM(B12:J12)</f>
        <v/>
      </c>
    </row>
    <row r="13">
      <c r="A13" t="inlineStr">
        <is>
          <t>VIP experiences &amp; entertainment</t>
        </is>
      </c>
      <c r="B13" s="6">
        <f>Inputs!C34</f>
        <v/>
      </c>
      <c r="C13" s="6">
        <f>Inputs!C34</f>
        <v/>
      </c>
      <c r="D13" s="6">
        <f>Inputs!C34</f>
        <v/>
      </c>
      <c r="E13" s="6">
        <f>Inputs!C34</f>
        <v/>
      </c>
      <c r="F13" s="6">
        <f>Inputs!C34</f>
        <v/>
      </c>
      <c r="G13" s="6">
        <f>Inputs!C34</f>
        <v/>
      </c>
      <c r="H13" s="6">
        <f>Inputs!C34</f>
        <v/>
      </c>
      <c r="I13" s="6">
        <f>Inputs!C34</f>
        <v/>
      </c>
      <c r="J13" s="6">
        <f>Inputs!C34</f>
        <v/>
      </c>
      <c r="K13" s="6">
        <f>SUM(B13:J13)</f>
        <v/>
      </c>
    </row>
    <row r="14">
      <c r="A14" t="inlineStr">
        <is>
          <t>Paddock hospitality / daytime F&amp;B</t>
        </is>
      </c>
      <c r="B14" s="6">
        <f>Inputs!C35</f>
        <v/>
      </c>
      <c r="C14" s="6">
        <f>Inputs!C35</f>
        <v/>
      </c>
      <c r="D14" s="6">
        <f>Inputs!C35</f>
        <v/>
      </c>
      <c r="E14" s="6">
        <f>Inputs!C35</f>
        <v/>
      </c>
      <c r="F14" s="6">
        <f>Inputs!C35</f>
        <v/>
      </c>
      <c r="G14" s="6">
        <f>Inputs!C35</f>
        <v/>
      </c>
      <c r="H14" s="6">
        <f>Inputs!C35</f>
        <v/>
      </c>
      <c r="I14" s="6">
        <f>Inputs!C35</f>
        <v/>
      </c>
      <c r="J14" s="6">
        <f>Inputs!C35</f>
        <v/>
      </c>
      <c r="K14" s="6">
        <f>SUM(B14:J14)</f>
        <v/>
      </c>
    </row>
    <row r="15">
      <c r="A15" t="inlineStr">
        <is>
          <t>Fleet livery — print, apply, remove (12 rental cars)</t>
        </is>
      </c>
      <c r="B15" s="6">
        <f>Inputs!C36</f>
        <v/>
      </c>
      <c r="C15" s="6">
        <f>Inputs!C36</f>
        <v/>
      </c>
      <c r="D15" s="6">
        <f>Inputs!C36</f>
        <v/>
      </c>
      <c r="E15" s="6">
        <f>Inputs!C36</f>
        <v/>
      </c>
      <c r="F15" s="6">
        <f>Inputs!C36</f>
        <v/>
      </c>
      <c r="G15" s="6">
        <f>Inputs!C36</f>
        <v/>
      </c>
      <c r="H15" s="6">
        <f>Inputs!C36</f>
        <v/>
      </c>
      <c r="I15" s="6">
        <f>Inputs!C36</f>
        <v/>
      </c>
      <c r="J15" s="6">
        <f>Inputs!C36</f>
        <v/>
      </c>
      <c r="K15" s="6">
        <f>SUM(B15:J15)</f>
        <v/>
      </c>
    </row>
    <row r="16">
      <c r="A16" s="4" t="inlineStr">
        <is>
          <t>ROUND TOTAL</t>
        </is>
      </c>
      <c r="B16" s="13">
        <f>SUM(B4:B15)</f>
        <v/>
      </c>
      <c r="C16" s="13">
        <f>SUM(C4:C15)</f>
        <v/>
      </c>
      <c r="D16" s="13">
        <f>SUM(D4:D15)</f>
        <v/>
      </c>
      <c r="E16" s="13">
        <f>SUM(E4:E15)</f>
        <v/>
      </c>
      <c r="F16" s="13">
        <f>SUM(F4:F15)</f>
        <v/>
      </c>
      <c r="G16" s="13">
        <f>SUM(G4:G15)</f>
        <v/>
      </c>
      <c r="H16" s="13">
        <f>SUM(H4:H15)</f>
        <v/>
      </c>
      <c r="I16" s="13">
        <f>SUM(I4:I15)</f>
        <v/>
      </c>
      <c r="J16" s="13">
        <f>SUM(J4:J15)</f>
        <v/>
      </c>
      <c r="K16" s="13">
        <f>SUM(K4:K15)</f>
        <v/>
      </c>
    </row>
    <row r="18">
      <c r="A18" s="9" t="inlineStr">
        <is>
          <t>* R6 Bathurst = event-entry round (drivers enter Challenge Bathurst directly); series carries presence costs only.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4" customWidth="1" min="1" max="1"/>
    <col width="15" customWidth="1" min="2" max="2"/>
    <col width="15" customWidth="1" min="3" max="3"/>
    <col width="15" customWidth="1" min="4" max="4"/>
  </cols>
  <sheetData>
    <row r="1">
      <c r="A1" s="8" t="inlineStr">
        <is>
          <t>SEASON BUDGET — FULL SPEC ONLY (per-line floor/expected live on Inputs as negotiation references)</t>
        </is>
      </c>
    </row>
    <row r="3">
      <c r="A3" s="3" t="inlineStr">
        <is>
          <t>Category</t>
        </is>
      </c>
      <c r="B3" s="3" t="inlineStr">
        <is>
          <t>FULL SPEC — the budget</t>
        </is>
      </c>
    </row>
    <row r="4">
      <c r="A4" t="inlineStr">
        <is>
          <t>Track splits (9 rounds)</t>
        </is>
      </c>
      <c r="B4" s="6">
        <f>SUM(Inputs!D5:D13)</f>
        <v/>
      </c>
    </row>
    <row r="5">
      <c r="A5" t="inlineStr">
        <is>
          <t>Staff travel (9 rounds)</t>
        </is>
      </c>
      <c r="B5" s="6">
        <f>SUM(Inputs!D16:D24)</f>
        <v/>
      </c>
    </row>
    <row r="6">
      <c r="A6" t="inlineStr">
        <is>
          <t>Per-round ops x9</t>
        </is>
      </c>
      <c r="B6" s="6">
        <f>SUM(Inputs!D27:D36)*9</f>
        <v/>
      </c>
    </row>
    <row r="7">
      <c r="A7" t="inlineStr">
        <is>
          <t>Freight &amp; customs</t>
        </is>
      </c>
      <c r="B7" s="6">
        <f>SUM(Inputs!D39:D41)</f>
        <v/>
      </c>
    </row>
    <row r="8">
      <c r="A8" t="inlineStr">
        <is>
          <t>Season fixed</t>
        </is>
      </c>
      <c r="B8" s="6">
        <f>SUM(Inputs!D44:D57)</f>
        <v/>
      </c>
    </row>
    <row r="9">
      <c r="A9" s="4" t="inlineStr">
        <is>
          <t>Subtotal</t>
        </is>
      </c>
      <c r="B9" s="6">
        <f>SUM(B4:B8)</f>
        <v/>
      </c>
    </row>
    <row r="10">
      <c r="A10" t="inlineStr">
        <is>
          <t>Contingency (10%)</t>
        </is>
      </c>
      <c r="B10" s="6">
        <f>B9*Inputs!C59</f>
        <v/>
      </c>
    </row>
    <row r="11">
      <c r="A11" s="14" t="inlineStr">
        <is>
          <t>THE SEASON BUDGET</t>
        </is>
      </c>
      <c r="B11" s="5">
        <f>B9+B10</f>
        <v/>
      </c>
    </row>
    <row r="13">
      <c r="A13" t="inlineStr">
        <is>
          <t>Per round (÷9)</t>
        </is>
      </c>
      <c r="B13" s="6">
        <f>B11/9</f>
        <v/>
      </c>
    </row>
    <row r="14">
      <c r="A14" t="inlineStr">
        <is>
          <t>Per member at 12 spots (series cost only)</t>
        </is>
      </c>
      <c r="B14" s="6">
        <f>B11/12</f>
        <v/>
      </c>
    </row>
    <row r="15">
      <c r="A15" t="inlineStr">
        <is>
          <t>Built-in cushion: ceiling pricing over expected + contingency</t>
        </is>
      </c>
      <c r="B15" s="6">
        <f>B11-SUMPRODUCT((Inputs!C5:C13))-SUM(Inputs!C16:C24)-SUM(Inputs!C27:C36)*9-SUM(Inputs!C39:C41)-SUM(Inputs!C44:C57)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8" t="inlineStr">
        <is>
          <t>BREAKEVEN — entry fee per member to cover the full-spec budget</t>
        </is>
      </c>
    </row>
    <row r="3">
      <c r="A3" s="3" t="inlineStr"/>
      <c r="B3" s="3" t="inlineStr">
        <is>
          <t>8 members</t>
        </is>
      </c>
      <c r="C3" s="3" t="inlineStr">
        <is>
          <t>12 members</t>
        </is>
      </c>
      <c r="D3" s="3" t="inlineStr">
        <is>
          <t>16 members</t>
        </is>
      </c>
      <c r="E3" s="3" t="inlineStr">
        <is>
          <t>20 members</t>
        </is>
      </c>
      <c r="F3" s="3" t="inlineStr">
        <is>
          <t>24 members</t>
        </is>
      </c>
    </row>
    <row r="4">
      <c r="A4" t="inlineStr">
        <is>
          <t>Entry fee to cover the season</t>
        </is>
      </c>
      <c r="B4" s="6">
        <f>'Season Scenarios'!B11/8</f>
        <v/>
      </c>
      <c r="C4" s="6">
        <f>'Season Scenarios'!B11/12</f>
        <v/>
      </c>
      <c r="D4" s="6">
        <f>'Season Scenarios'!B11/16</f>
        <v/>
      </c>
      <c r="E4" s="6">
        <f>'Season Scenarios'!B11/20</f>
        <v/>
      </c>
      <c r="F4" s="6">
        <f>'Season Scenarios'!B11/24</f>
        <v/>
      </c>
    </row>
    <row r="7">
      <c r="A7" s="15" t="inlineStr">
        <is>
          <t>MEMBER ALL-IN AT 12 SPOTS</t>
        </is>
      </c>
    </row>
    <row r="8">
      <c r="A8" t="inlineStr">
        <is>
          <t>Entry fee at 12 members — full spec</t>
        </is>
      </c>
      <c r="B8" s="6">
        <f>'Season Scenarios'!B11/12</f>
        <v/>
      </c>
    </row>
    <row r="9">
      <c r="A9" t="inlineStr">
        <is>
          <t>Arrive-and-drive car programme (published band midpoint)</t>
        </is>
      </c>
      <c r="B9" s="6" t="n">
        <v>122500</v>
      </c>
    </row>
    <row r="10">
      <c r="A10" s="4" t="inlineStr">
        <is>
          <t>MEMBER ALL-IN</t>
        </is>
      </c>
      <c r="B10" s="16">
        <f>B8+B9</f>
        <v/>
      </c>
    </row>
    <row r="12">
      <c r="A12" s="9" t="inlineStr">
        <is>
          <t>Original $150K estimate priced the racing itself; the organization + experience stack is deliberately more. Sponsorship and seats past 12 pull the entry down.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50" customWidth="1" min="1" max="1"/>
    <col width="14" customWidth="1" min="2" max="2"/>
    <col width="14" customWidth="1" min="3" max="3"/>
    <col width="14" customWidth="1" min="4" max="4"/>
    <col width="110" customWidth="1" min="5" max="5"/>
  </cols>
  <sheetData>
    <row r="1">
      <c r="A1" s="8" t="inlineStr">
        <is>
          <t>THE $20M YEAR — growth plan layered on the season budget (FULL SPEC ONLY)</t>
        </is>
      </c>
    </row>
    <row r="2" ht="28" customHeight="1">
      <c r="A2" s="9" t="inlineStr">
        <is>
          <t>Ask $20M/yr, $100M over 5. 'Marketing = 70% of spend' holds with the LIV definition (purse + broadcast + content + media + PR = one audience-and-credibility envelope); narrow-marketing comps run 12-35%. SET 2026-07-27. NATIONS CHAMPION'S FUND SET 2026-08-10: +$500K/season to the winning nation's program; envelope held at $14M via paid-media rebalance ($1.5M -&gt; $1.0M).</t>
        </is>
      </c>
    </row>
    <row r="4">
      <c r="A4" s="10" t="inlineStr">
        <is>
          <t>ALLOCATION</t>
        </is>
      </c>
      <c r="B4" s="17" t="n"/>
      <c r="C4" s="17" t="n"/>
      <c r="D4" s="17" t="n"/>
      <c r="E4" s="17" t="n"/>
    </row>
    <row r="5">
      <c r="A5" s="4" t="inlineStr">
        <is>
          <t>Growth envelope (purse + media &amp; content)</t>
        </is>
      </c>
      <c r="B5" s="16" t="n">
        <v>14000000</v>
      </c>
      <c r="C5" s="11" t="n">
        <v>0.7</v>
      </c>
      <c r="E5" t="inlineStr">
        <is>
          <t>SET — the 70% thesis, LIV-defined; splits below</t>
        </is>
      </c>
    </row>
    <row r="6">
      <c r="A6" t="inlineStr">
        <is>
          <t>Season operations (full-spec budget, unchanged)</t>
        </is>
      </c>
      <c r="B6" s="6">
        <f>'Season Scenarios'!B11</f>
        <v/>
      </c>
      <c r="C6" s="18">
        <f>B6/20000000</f>
        <v/>
      </c>
      <c r="E6" t="inlineStr">
        <is>
          <t>Buyout-based ops carried by the raise; memberships = RETAIL upside, not coverage (Peter 2026-07-30)</t>
        </is>
      </c>
    </row>
    <row r="7">
      <c r="A7" t="inlineStr">
        <is>
          <t>Reserve (wiggle-room doctrine at program level)</t>
        </is>
      </c>
      <c r="B7" s="6">
        <f>20000000-B5-B6</f>
        <v/>
      </c>
      <c r="C7" s="18">
        <f>B7/20000000</f>
        <v/>
      </c>
      <c r="E7" t="inlineStr">
        <is>
          <t>On top of the 10% contingency already inside operations</t>
        </is>
      </c>
    </row>
    <row r="8">
      <c r="A8" s="14" t="inlineStr">
        <is>
          <t>THE YEAR</t>
        </is>
      </c>
      <c r="B8" s="19" t="n">
        <v>20000000</v>
      </c>
    </row>
    <row r="10">
      <c r="A10" s="10" t="inlineStr">
        <is>
          <t>PRIZE PURSE — SET 2026-07-27 (Option A)</t>
        </is>
      </c>
      <c r="B10" s="17" t="n"/>
      <c r="C10" s="17" t="n"/>
      <c r="D10" s="17" t="n"/>
      <c r="E10" s="17" t="n"/>
    </row>
    <row r="11">
      <c r="A11" t="inlineStr">
        <is>
          <t>Per-round purse x9</t>
        </is>
      </c>
      <c r="B11" s="6" t="n">
        <v>2250000</v>
      </c>
      <c r="E11" t="inlineStr">
        <is>
          <t>$250K per round — ~10x the largest disclosed per-race GT payout (IMSA GTD $10-25K to win; GTWC Europe ~EUR20K; Ferrari Challenge/Super Trofeo/GT4 America: none)</t>
        </is>
      </c>
    </row>
    <row r="12">
      <c r="A12" t="inlineStr">
        <is>
          <t>Champion's fund ($1M) + Nations Champion's Fund ($500K)</t>
        </is>
      </c>
      <c r="B12" s="6" t="n">
        <v>1500000</v>
      </c>
      <c r="E12" t="inlineStr">
        <is>
          <t>Round numbers = headlines (NASCAR All-Star '$1M-to-win'). Nations Fund pays the winning COUNTRY'S PROGRAM toward its next season — a prize the program earns, never a subsidy (anti-A1GP covenant); countries fund their own drivers.</t>
        </is>
      </c>
    </row>
    <row r="13">
      <c r="A13" s="4" t="inlineStr">
        <is>
          <t>SEASON PURSE</t>
        </is>
      </c>
      <c r="B13" s="16" t="n">
        <v>3750000</v>
      </c>
      <c r="E13" t="inlineStr">
        <is>
          <t>Richest season fund in GT racing; includes the Nations Champion's Fund from season one (Trophy era)</t>
        </is>
      </c>
    </row>
    <row r="14">
      <c r="A14" t="inlineStr">
        <is>
          <t>NATIONS CHAMPION'S FUND — SET 2026-08-10 (Peter: 'countries find ways to fund their drivers; our fund supports the next year')</t>
        </is>
      </c>
    </row>
    <row r="15">
      <c r="A15" s="10" t="inlineStr">
        <is>
          <t>Payout, 12-car grid (winner 40% hero-number + every car paid, no zeros)</t>
        </is>
      </c>
      <c r="B15" s="17" t="n"/>
      <c r="C15" s="17" t="n"/>
      <c r="D15" s="17" t="n"/>
      <c r="E15" s="17" t="n"/>
    </row>
    <row r="16">
      <c r="A16" t="inlineStr">
        <is>
          <t>P1 — TO WIN (the headline number)</t>
        </is>
      </c>
      <c r="B16" s="6" t="n">
        <v>100000</v>
      </c>
      <c r="C16" t="inlineStr">
        <is>
          <t>40%</t>
        </is>
      </c>
    </row>
    <row r="17">
      <c r="A17" t="inlineStr">
        <is>
          <t>P2</t>
        </is>
      </c>
      <c r="B17" s="6" t="n">
        <v>40000</v>
      </c>
      <c r="C17" t="inlineStr">
        <is>
          <t>16%</t>
        </is>
      </c>
    </row>
    <row r="18">
      <c r="A18" t="inlineStr">
        <is>
          <t>P3</t>
        </is>
      </c>
      <c r="B18" s="6" t="n">
        <v>25000</v>
      </c>
      <c r="C18" t="inlineStr">
        <is>
          <t>10%</t>
        </is>
      </c>
    </row>
    <row r="19">
      <c r="A19" t="inlineStr">
        <is>
          <t>P4</t>
        </is>
      </c>
      <c r="B19" s="6" t="n">
        <v>20000</v>
      </c>
      <c r="C19" t="inlineStr">
        <is>
          <t>8%</t>
        </is>
      </c>
    </row>
    <row r="20">
      <c r="A20" t="inlineStr">
        <is>
          <t>P5</t>
        </is>
      </c>
      <c r="B20" s="6" t="n">
        <v>16250</v>
      </c>
      <c r="C20" t="inlineStr">
        <is>
          <t>6.5%</t>
        </is>
      </c>
    </row>
    <row r="21">
      <c r="A21" t="inlineStr">
        <is>
          <t>P6</t>
        </is>
      </c>
      <c r="B21" s="6" t="n">
        <v>12500</v>
      </c>
      <c r="C21" t="inlineStr">
        <is>
          <t>5%</t>
        </is>
      </c>
    </row>
    <row r="22">
      <c r="A22" t="inlineStr">
        <is>
          <t>P7</t>
        </is>
      </c>
      <c r="B22" s="6" t="n">
        <v>10000</v>
      </c>
      <c r="C22" t="inlineStr">
        <is>
          <t>4%</t>
        </is>
      </c>
    </row>
    <row r="23">
      <c r="A23" t="inlineStr">
        <is>
          <t>P8</t>
        </is>
      </c>
      <c r="B23" s="6" t="n">
        <v>7500</v>
      </c>
      <c r="C23" t="inlineStr">
        <is>
          <t>3%</t>
        </is>
      </c>
    </row>
    <row r="24">
      <c r="A24" t="inlineStr">
        <is>
          <t>P9</t>
        </is>
      </c>
      <c r="B24" s="6" t="n">
        <v>6250</v>
      </c>
      <c r="C24" t="inlineStr">
        <is>
          <t>2.5%</t>
        </is>
      </c>
    </row>
    <row r="25">
      <c r="A25" t="inlineStr">
        <is>
          <t>P10</t>
        </is>
      </c>
      <c r="B25" s="6" t="n">
        <v>5000</v>
      </c>
      <c r="C25" t="inlineStr">
        <is>
          <t>2%</t>
        </is>
      </c>
    </row>
    <row r="26">
      <c r="A26" t="inlineStr">
        <is>
          <t>P11</t>
        </is>
      </c>
      <c r="B26" s="6" t="n">
        <v>4000</v>
      </c>
      <c r="C26" t="inlineStr">
        <is>
          <t>1.6%</t>
        </is>
      </c>
    </row>
    <row r="27">
      <c r="A27" t="inlineStr">
        <is>
          <t>P12</t>
        </is>
      </c>
      <c r="B27" s="6" t="n">
        <v>3500</v>
      </c>
      <c r="C27" t="inlineStr">
        <is>
          <t>1.4%</t>
        </is>
      </c>
    </row>
    <row r="28">
      <c r="A28" s="7" t="inlineStr">
        <is>
          <t>• Safeguards: purse scales down below 10 starters (IMSA cuts 50% under 7 entries; IHRA voids under 70% field-fill). Publish ONE round number, never the table (Nitro RX precedent). Re-cut table at 24 cars, season total fixed.</t>
        </is>
      </c>
    </row>
    <row r="29">
      <c r="A29" s="7" t="inlineStr">
        <is>
          <t>• Member kicker: podium every round = $225K over the season ~= the $240K entry back. Champion sweep = $1.9M vs ~$340-385K all-in cost.</t>
        </is>
      </c>
    </row>
    <row r="31">
      <c r="A31" s="10" t="inlineStr">
        <is>
          <t>MEDIA &amp; CONTENT — the other $10.25M</t>
        </is>
      </c>
      <c r="B31" s="17" t="n"/>
      <c r="C31" s="17" t="n"/>
      <c r="D31" s="17" t="n"/>
      <c r="E31" s="17" t="n"/>
    </row>
    <row r="32">
      <c r="A32" t="inlineStr">
        <is>
          <t>Broadcast / world-feed production, 9 rounds</t>
        </is>
      </c>
      <c r="B32" s="6" t="n">
        <v>3600000</v>
      </c>
      <c r="C32" t="inlineStr">
        <is>
          <t>QUOTE-PEND</t>
        </is>
      </c>
      <c r="E32" t="inlineStr">
        <is>
          <t>$400K/round premium package DERIVED from AV day rates; NO GT series publishes this — RFP to IMSA/WEC/SRO production vendors is the top quote to land</t>
        </is>
      </c>
    </row>
    <row r="33">
      <c r="A33" t="inlineStr">
        <is>
          <t>Docuseries — 8 eps, self-funded access tier</t>
        </is>
      </c>
      <c r="B33" s="6" t="n">
        <v>4000000</v>
      </c>
      <c r="C33" t="inlineStr">
        <is>
          <t>PUBLISHED</t>
        </is>
      </c>
      <c r="E33" t="inlineStr">
        <is>
          <t>$200-700K/ep indie tier (Paramount commissions $300-700K/ep); $500K/ep budgeted. Netflix-financed tier ($2-5M/ep) is platform money</t>
        </is>
      </c>
    </row>
    <row r="34">
      <c r="A34" t="inlineStr">
        <is>
          <t>Paid media (premium CTV + social)</t>
        </is>
      </c>
      <c r="B34" s="6" t="n">
        <v>1000000</v>
      </c>
      <c r="C34" t="inlineStr">
        <is>
          <t>PUBLISHED</t>
        </is>
      </c>
      <c r="E34" t="inlineStr">
        <is>
          <t>CTV $26 blended / $40-60 premium CPM; Meta $8-14. Rebalanced -$500K on 2026-08-10 to fund the Nations Champion's Fund inside the fixed $14M envelope</t>
        </is>
      </c>
    </row>
    <row r="35">
      <c r="A35" t="inlineStr">
        <is>
          <t>PR / comms — 3 regional agencies (US + EU + APAC)</t>
        </is>
      </c>
      <c r="B35" s="6" t="n">
        <v>900000</v>
      </c>
      <c r="C35" t="inlineStr">
        <is>
          <t>PUBLISHED</t>
        </is>
      </c>
      <c r="E35" t="inlineStr">
        <is>
          <t>$25K/mo established-tier retainers x3 for the 7-country calendar</t>
        </is>
      </c>
    </row>
    <row r="36">
      <c r="A36" t="inlineStr">
        <is>
          <t>Launch activations — 3 flagship reveals</t>
        </is>
      </c>
      <c r="B36" s="6" t="n">
        <v>600000</v>
      </c>
      <c r="C36" t="inlineStr">
        <is>
          <t>PUBLISHED</t>
        </is>
      </c>
      <c r="E36" t="inlineStr">
        <is>
          <t>Custom branded builds $100-500K each</t>
        </is>
      </c>
    </row>
    <row r="37">
      <c r="A37" t="inlineStr">
        <is>
          <t>Content studio + per-round shoot crews</t>
        </is>
      </c>
      <c r="B37" s="6" t="n">
        <v>150000</v>
      </c>
      <c r="C37" t="inlineStr">
        <is>
          <t>BUDGET</t>
        </is>
      </c>
      <c r="E37" t="inlineStr">
        <is>
          <t>Beyond the in-house Social+Editor heads already in payroll</t>
        </is>
      </c>
    </row>
    <row r="38">
      <c r="A38" s="4" t="inlineStr">
        <is>
          <t>MEDIA &amp; CONTENT TOTAL</t>
        </is>
      </c>
      <c r="B38" s="6">
        <f>SUM(B32:B37)</f>
        <v/>
      </c>
    </row>
    <row r="40">
      <c r="A40" s="10" t="inlineStr">
        <is>
          <t>FIVE-YEAR DRAWDOWN — tiered, not flat (rounded to $10K; Y3 = the modeled steady-state year)</t>
        </is>
      </c>
      <c r="B40" s="17" t="n"/>
      <c r="C40" s="17" t="n"/>
      <c r="D40" s="17" t="n"/>
      <c r="E40" s="17" t="n"/>
    </row>
    <row r="41">
      <c r="A41" s="9" t="inlineStr">
        <is>
          <t>Only the media block ramps; ops + purse flat from race one</t>
        </is>
      </c>
      <c r="B41" s="20" t="inlineStr">
        <is>
          <t>Ops</t>
        </is>
      </c>
      <c r="C41" s="20" t="inlineStr">
        <is>
          <t>Purse</t>
        </is>
      </c>
      <c r="D41" s="20" t="inlineStr">
        <is>
          <t>Media</t>
        </is>
      </c>
      <c r="E41" s="20" t="inlineStr">
        <is>
          <t>Reserve</t>
        </is>
      </c>
    </row>
    <row r="42">
      <c r="A42" t="inlineStr">
        <is>
          <t>2027 — Launch (12-car grid; stream-first feed; docuseries films)</t>
        </is>
      </c>
      <c r="B42" s="6" t="n">
        <v>4340000</v>
      </c>
      <c r="C42" s="6" t="n">
        <v>3750000</v>
      </c>
      <c r="D42" s="6" t="n">
        <v>3000000</v>
      </c>
      <c r="E42" s="6" t="n">
        <v>910000</v>
      </c>
      <c r="F42" s="21" t="n">
        <v>12000000</v>
      </c>
    </row>
    <row r="43">
      <c r="A43" t="inlineStr">
        <is>
          <t>2028 — Amplify (series airs; full world feed; paid media on)</t>
        </is>
      </c>
      <c r="B43" s="6" t="n">
        <v>4340000</v>
      </c>
      <c r="C43" s="6" t="n">
        <v>3750000</v>
      </c>
      <c r="D43" s="6" t="n">
        <v>6500000</v>
      </c>
      <c r="E43" s="6" t="n">
        <v>1410000</v>
      </c>
      <c r="F43" s="21" t="n">
        <v>16000000</v>
      </c>
    </row>
    <row r="44">
      <c r="A44" t="inlineStr">
        <is>
          <t>2029 — Full program (the steady-state year modeled above)</t>
        </is>
      </c>
      <c r="B44" s="6" t="n">
        <v>4340000</v>
      </c>
      <c r="C44" s="6" t="n">
        <v>3750000</v>
      </c>
      <c r="D44" s="6" t="n">
        <v>10250000</v>
      </c>
      <c r="E44" s="6" t="n">
        <v>1660000</v>
      </c>
      <c r="F44" s="21" t="n">
        <v>20000000</v>
      </c>
    </row>
    <row r="45">
      <c r="A45" t="inlineStr">
        <is>
          <t>2030 — Expand (grid to 24; global activations; 2nd content prop)</t>
        </is>
      </c>
      <c r="B45" s="6" t="n">
        <v>4340000</v>
      </c>
      <c r="C45" s="6" t="n">
        <v>3750000</v>
      </c>
      <c r="D45" s="6" t="n">
        <v>13500000</v>
      </c>
      <c r="E45" s="6" t="n">
        <v>2410000</v>
      </c>
      <c r="F45" s="21" t="n">
        <v>24000000</v>
      </c>
    </row>
    <row r="46">
      <c r="A46" t="inlineStr">
        <is>
          <t>2031 — Franchise (team franchises open; rights talks from strength)</t>
        </is>
      </c>
      <c r="B46" s="6" t="n">
        <v>4340000</v>
      </c>
      <c r="C46" s="6" t="n">
        <v>3750000</v>
      </c>
      <c r="D46" s="6" t="n">
        <v>16500000</v>
      </c>
      <c r="E46" s="6" t="n">
        <v>3410000</v>
      </c>
      <c r="F46" s="21" t="n">
        <v>28000000</v>
      </c>
    </row>
    <row r="47">
      <c r="A47" s="4" t="inlineStr">
        <is>
          <t>FIVE YEARS</t>
        </is>
      </c>
      <c r="F47" s="16" t="n">
        <v>100000000</v>
      </c>
    </row>
    <row r="49" ht="24" customHeight="1">
      <c r="A49" s="22" t="inlineStr">
        <is>
          <t>• LIV PLAYBOOK — TRANSFERS: purse-as-marketing; everyone-paid floor (LIV last place $50K -&gt; our P12 $3.5K); pay-for-production + rev-share broadcast (LIV/CW model — no rights fees expected yrs 1-3, LIV broadcast rev was $3M = 8% of revenue in 2023); festival/VIP layer (already in ops).</t>
        </is>
      </c>
    </row>
    <row r="50" ht="24" customHeight="1">
      <c r="A50" s="22" t="inlineStr">
        <is>
          <t>• LIV PLAYBOOK — DOES NOT TRANSFER: $2B player buyouts (our members PAY to enter; LIV bought its field and still lost $396M in 2023 on $37M revenue); the capital-source controversy.</t>
        </is>
      </c>
    </row>
    <row r="51" ht="24" customHeight="1">
      <c r="A51" s="22" t="inlineStr">
        <is>
          <t>• CAUTION (A1GP &gt;$500M dead, W Series administration, XFL): challenger series die from single-point funding failure, not underspend — tranche the raise, land sponsorship early (Kings League: profitable day one, 65-90% sponsorship revenue).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46" customWidth="1" min="1" max="1"/>
    <col width="15" customWidth="1" min="2" max="2"/>
    <col width="15" customWidth="1" min="3" max="3"/>
    <col width="30" customWidth="1" min="4" max="4"/>
    <col width="110" customWidth="1" min="5" max="5"/>
  </cols>
  <sheetData>
    <row r="1">
      <c r="A1" s="8" t="inlineStr">
        <is>
          <t>FULL-TRACK BUYOUT — ADOPTED 2026-07-30 (canonical; Inputs tab now carries these numbers)</t>
        </is>
      </c>
    </row>
    <row r="2" ht="40" customHeight="1">
      <c r="A2" s="9" t="inlineStr">
        <is>
          <t>Peter 2026-07-30: 'healthy estimates with buffer' — every weekend budgeted ABOVE the researched ceiling (US/UK source data 10-13 yrs stale). Weekends include the self-promoter services stack (marshals/2x ALS/fire/recovery/timing) except Silverstone+Spa where the circuit bundles it. Bathurst = guest round (SET). Memberships = RETAIL, not the funding story (Peter 2026-07-30).</t>
        </is>
      </c>
    </row>
    <row r="4">
      <c r="A4" s="10" t="inlineStr">
        <is>
          <t>PER-ROUND — buffered full spec</t>
        </is>
      </c>
      <c r="B4" s="17" t="n"/>
      <c r="C4" s="17" t="n"/>
      <c r="D4" s="10" t="inlineStr">
        <is>
          <t>Tag</t>
        </is>
      </c>
      <c r="E4" s="10" t="inlineStr">
        <is>
          <t>Basis</t>
        </is>
      </c>
    </row>
    <row r="5">
      <c r="A5" t="inlineStr">
        <is>
          <t>R1 Road Atlanta</t>
        </is>
      </c>
      <c r="B5" s="6" t="n">
        <v>200000</v>
      </c>
      <c r="D5" t="inlineStr">
        <is>
          <t>PUB-STALE+DERIVED+buffer</t>
        </is>
      </c>
      <c r="E5" t="inlineStr">
        <is>
          <t>Band $90-160K ($18-21K/day track 2026-adj + $33K/day services) -&gt; buffered to COTA turnkey tier</t>
        </is>
      </c>
    </row>
    <row r="6">
      <c r="A6" t="inlineStr">
        <is>
          <t>R2 Silverstone GP</t>
        </is>
      </c>
      <c r="B6" s="6" t="n">
        <v>200000</v>
      </c>
      <c r="D6" t="inlineStr">
        <is>
          <t>DERIVED — QUOTE MANDATORY</t>
        </is>
      </c>
      <c r="E6" t="inlineStr">
        <is>
          <t>One 2013 figure (GBP14K/day, safety/medical/marshalling BUNDLED); maximum buffer</t>
        </is>
      </c>
    </row>
    <row r="7">
      <c r="A7" t="inlineStr">
        <is>
          <t>R3 Sebring</t>
        </is>
      </c>
      <c r="B7" s="6" t="n">
        <v>200000</v>
      </c>
      <c r="D7" t="inlineStr">
        <is>
          <t>PUB-STALE+DERIVED+buffer</t>
        </is>
      </c>
      <c r="E7" t="inlineStr">
        <is>
          <t>as R1 ($13K/day 2016 asphalt-only)</t>
        </is>
      </c>
    </row>
    <row r="8">
      <c r="A8" t="inlineStr">
        <is>
          <t>R4 Fuji</t>
        </is>
      </c>
      <c r="B8" s="6" t="n">
        <v>250000</v>
      </c>
      <c r="D8" t="inlineStr">
        <is>
          <t>Track PUBLISHED + BUDGET</t>
        </is>
      </c>
      <c r="E8" t="inlineStr">
        <is>
          <t>Official rate card: JPY1.133M/hr weekend ceiling x 9h x 3d ~= $190K + buffered services $60K</t>
        </is>
      </c>
    </row>
    <row r="9">
      <c r="A9" t="inlineStr">
        <is>
          <t>R5 Mosport</t>
        </is>
      </c>
      <c r="B9" s="6" t="n">
        <v>200000</v>
      </c>
      <c r="D9" t="inlineStr">
        <is>
          <t>PROXY+buffer</t>
        </is>
      </c>
      <c r="E9" t="inlineStr">
        <is>
          <t>Barber-tier proxy ($13.5K/day 2016) -&gt; turnkey tier</t>
        </is>
      </c>
    </row>
    <row r="10">
      <c r="A10" t="inlineStr">
        <is>
          <t>R6 Bathurst</t>
        </is>
      </c>
      <c r="B10" s="6" t="n">
        <v>10000</v>
      </c>
      <c r="D10" t="inlineStr">
        <is>
          <t>SET — event-entry</t>
        </is>
      </c>
      <c r="E10" t="inlineStr">
        <is>
          <t>NOT privately rentable: Ministerial Order + council-as-promoter required; SRO tender precedent live</t>
        </is>
      </c>
    </row>
    <row r="11">
      <c r="A11" t="inlineStr">
        <is>
          <t>R7 Spa</t>
        </is>
      </c>
      <c r="B11" s="6" t="n">
        <v>200000</v>
      </c>
      <c r="D11" t="inlineStr">
        <is>
          <t>PROXY — QUOTE MANDATORY</t>
        </is>
      </c>
      <c r="E11" t="inlineStr">
        <is>
          <t>No rate exists anywhere; Silverstone-model (bundled) proxy, maximum buffer</t>
        </is>
      </c>
    </row>
    <row r="12">
      <c r="A12" t="inlineStr">
        <is>
          <t>R8 Interlagos</t>
        </is>
      </c>
      <c r="B12" s="6" t="n">
        <v>75000</v>
      </c>
      <c r="D12" t="inlineStr">
        <is>
          <t>PUBLISHED-DERIVED + BUDGET</t>
        </is>
      </c>
      <c r="E12" t="inlineStr">
        <is>
          <t>Real municipal contracts ~R$51-78K/3-day ~= $10-16K + buffered CBA federation services</t>
        </is>
      </c>
    </row>
    <row r="13">
      <c r="A13" t="inlineStr">
        <is>
          <t>R9 Homestead</t>
        </is>
      </c>
      <c r="B13" s="6" t="n">
        <v>200000</v>
      </c>
      <c r="D13" t="inlineStr">
        <is>
          <t>PROXY+buffer</t>
        </is>
      </c>
      <c r="E13" t="inlineStr">
        <is>
          <t>Sebring-tier proxy (custom-quote only)</t>
        </is>
      </c>
    </row>
    <row r="14">
      <c r="A14" s="4" t="inlineStr">
        <is>
          <t>SEASON — track + event services</t>
        </is>
      </c>
      <c r="B14" s="16" t="n">
        <v>1535000</v>
      </c>
    </row>
    <row r="16">
      <c r="A16" s="10" t="inlineStr">
        <is>
          <t>SEASON COMPARISON</t>
        </is>
      </c>
      <c r="B16" s="10" t="inlineStr">
        <is>
          <t>Split (SET)</t>
        </is>
      </c>
      <c r="C16" s="10" t="inlineStr">
        <is>
          <t>Buyout</t>
        </is>
      </c>
      <c r="D16" s="17" t="n"/>
      <c r="E16" s="17" t="n"/>
    </row>
    <row r="17">
      <c r="A17" s="23" t="inlineStr">
        <is>
          <t>Track access + safety block</t>
        </is>
      </c>
      <c r="B17" s="6" t="n">
        <v>207000</v>
      </c>
      <c r="C17" s="6" t="n">
        <v>1535000</v>
      </c>
    </row>
    <row r="18">
      <c r="A18" s="4" t="inlineStr">
        <is>
          <t>SEASON TOTAL (full spec, 10% contingency)</t>
        </is>
      </c>
      <c r="B18" s="6" t="n">
        <v>2879398</v>
      </c>
      <c r="C18" s="16" t="n">
        <v>4340198</v>
      </c>
      <c r="E18" t="inlineStr">
        <is>
          <t>Delta +$1460K (+51%)</t>
        </is>
      </c>
    </row>
    <row r="19">
      <c r="A19" s="23" t="inlineStr">
        <is>
          <t>Per round</t>
        </is>
      </c>
      <c r="B19" s="6" t="n">
        <v>319933</v>
      </c>
      <c r="C19" s="6" t="n">
        <v>482244</v>
      </c>
    </row>
    <row r="20">
      <c r="A20" s="23" t="inlineStr">
        <is>
          <t>Retail seat reference at 12 (NOT the funding story)</t>
        </is>
      </c>
      <c r="B20" s="6" t="n">
        <v>239950</v>
      </c>
      <c r="C20" s="6" t="n">
        <v>361683</v>
      </c>
      <c r="E20" t="inlineStr">
        <is>
          <t>Memberships = retail per Peter 2026-07-30</t>
        </is>
      </c>
    </row>
    <row r="21">
      <c r="A21" s="7" t="inlineStr">
        <is>
          <t>Retail seat ladder (reference pricing only): 12 -&gt; $361K · 16 -&gt; $271K · 20 -&gt; $217K · 24 -&gt; $180K</t>
        </is>
      </c>
    </row>
    <row r="22">
      <c r="A22" s="7" t="inlineStr">
        <is>
          <t>$20M year: ops $4.34M (22%) carried by the raise; reserve $1.66M; envelope held at $14M/70%. Member/retail revenue = upside, not coverage.</t>
        </is>
      </c>
    </row>
    <row r="24" ht="28" customHeight="1">
      <c r="A24" s="22" t="inlineStr">
        <is>
          <t>• WHY: absolute VIP privacy, schedule sovereignty (Chase format/night runs), broadcast-clean track, full signage rights, 10x member seat time, and it kills the biggest execution risk (finding willing host organizers at 9 majors).</t>
        </is>
      </c>
    </row>
    <row r="25" ht="28" customHeight="1">
      <c r="A25" s="22" t="inlineStr">
        <is>
          <t>• BATHURST: cannot be privately rented (public road; Motor Sports Events Act 2022 Ministerial Order; council MUST be promoter). Options: keep event-entry guest round / swap Phillip Island (quote-pend) / bid the council's 5-yr promoter tender from 2028 (SRO is pitching it right now).</t>
        </is>
      </c>
    </row>
    <row r="26" ht="28" customHeight="1">
      <c r="A26" s="22" t="inlineStr">
        <is>
          <t>• QUOTE LIST (none publish rates): Road Atlanta 770-967-6143 · Sebring enquiry · Silverstone exclusive-hire enquiry · Spa privatisation office. Fuji already priced (official card); Interlagos via Sao Paulo municipal process; CTMP info@ctmpark.com; Homestead custom form.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8" t="inlineStr">
        <is>
          <t>SOURCES &amp; METHOD</t>
        </is>
      </c>
    </row>
    <row r="3" ht="30" customHeight="1">
      <c r="A3" s="24" t="inlineStr">
        <is>
          <t>METHOD: MetaFi-workbook pattern (inputs -&gt; scenario rollup -&gt; breakeven). All rates researched 2026-07-26; FX 2026-07-24 (GBP 1.332, EUR 1.138).</t>
        </is>
      </c>
    </row>
    <row r="4" ht="30" customHeight="1">
      <c r="A4" s="24" t="inlineStr">
        <is>
          <t>TRACK TIME: published full-circuit hire (MSR Houston $6.9-8.5K/day, High Plains $5.5-7.1K, Palmer $7-14K, Llandow £3.85-5K) + per-driver rates (FARA $400/day, NASA FL $450/wknd, Curbstone €999-1,799, RMA £849-875, RSRSpa €699-1,199, Gold Track £239-249) -&gt; split band triangulation.</t>
        </is>
      </c>
    </row>
    <row r="5" ht="30" customHeight="1">
      <c r="A5" s="24" t="inlineStr">
        <is>
          <t>TRAVEL: GSA FY2026 CONUS + State Dept DSSR-925 M&amp;IE; aggregator hotel rates (Kayak/Expedia/momondo/Tripadvisor); IRS mileage $0.76 (H2-2026); airfares ATL-LHR $908, ATL-BRU $902, ATL-TYO $1,105, ATL-YYZ $476, ATL-GRU $1,370, ATL-MIA $169 (Aug avg, Dec likely higher).</t>
        </is>
      </c>
    </row>
    <row r="6" ht="30" customHeight="1">
      <c r="A6" s="24" t="inlineStr">
        <is>
          <t>INSURANCE: K&amp;K special-event GL min $2,500 / package $5,000; SCCA PA program (Markel/K&amp;K) limits documented; series annual GL = quote-only everywhere (flagged).</t>
        </is>
      </c>
    </row>
    <row r="7" ht="30" customHeight="1">
      <c r="A7" s="24" t="inlineStr">
        <is>
          <t>SANCTION: SCCA 2024 fee schedule $58-62/entry + $3 volunteer fee; MSUK licence £99-220 + £25-60/capita road-section levy; AUS/RACB fee schedules member-gated (flagged).</t>
        </is>
      </c>
    </row>
    <row r="8" ht="30" customHeight="1">
      <c r="A8" s="24" t="inlineStr">
        <is>
          <t>TIMING: MYLAPS X2 club server+decoder $4,876 (MSRP $5,300); TR2 transponders $209.99-$895; X2 2-yr sub card $223.99; RaceHero free to organizers.</t>
        </is>
      </c>
    </row>
    <row r="9" ht="30" customHeight="1">
      <c r="A9" s="24" t="inlineStr">
        <is>
          <t>FREIGHT: air $3.5-8/kg by lane, 400kg kit ~$2-3.5K/intl round all-in ex-customs; Canada ground $0.12-0.45/kg; US carnet $365 fee + 1% bond premium ($75K kit illustrative); BRAZIL: no ATA carnet since 2022 -&gt; Admissao Temporaria broker.</t>
        </is>
      </c>
    </row>
    <row r="10" ht="30" customHeight="1">
      <c r="A10" s="24" t="inlineStr">
        <is>
          <t>HOSPITALITY: US corporate catering $20-60 buffet / $55-130 plated per head; 20x30 tent $675-1,125/day; Spa business package €169/head reference.</t>
        </is>
      </c>
    </row>
    <row r="11" ht="30" customHeight="1">
      <c r="A11" s="24" t="inlineStr">
        <is>
          <t>MEDIA: 2-person video crew $550/day median (assignmentdesk 55K billing records); motorsport photographer $500/day flat (Conejo).</t>
        </is>
      </c>
    </row>
    <row r="12" ht="30" customHeight="1">
      <c r="A12" s="24" t="inlineStr">
        <is>
          <t>TROPHIES: $6.99-24.99/unit catalog (Crown Awards / Race Awards from $15).</t>
        </is>
      </c>
    </row>
    <row r="13" ht="30" customHeight="1">
      <c r="A13" s="24" t="inlineStr">
        <is>
          <t>WAIVERS: SpeedWaiver $5-200/mo usage tiers; Smartwaiver $19-199/mo; WaiverSign $19-189/mo.</t>
        </is>
      </c>
    </row>
    <row r="14" ht="30" customHeight="1">
      <c r="A14" s="24" t="inlineStr">
        <is>
          <t>GROWTH/MARKETING (2026-07-27 sweep): LIV Golf $784M spend vs &lt;$100M rev season 1, 2023 loss $395.9M on $37.1M rev (UK Companies House via Sportcal 2025); LVMH ads 11.5% of rev (Ad Age 2025); DTC median mktg 13.3% of rev (10-K analysis 2026); docuseries indie tier $200-700K/ep (Paramount commissions); CTV CPM $26 blended / $40-60 premium; PR retainers $20-75K/mo (AMW 2026); Formula E $155M losses over 6 seasons (Forbes/filings).</t>
        </is>
      </c>
    </row>
    <row r="15" ht="30" customHeight="1">
      <c r="A15" s="24" t="inlineStr">
        <is>
          <t>PURSE BENCHMARKS (2026-07-27 sweep): IMSA 2023 official prize schedule (GTD $10K win std / $25K Daytona, top-5 only, 50% cut under 7 entries); GTWC Europe ~EUR20K/win, ~EUR2.5-3M pool (2021); GR Cup 'over $1M purse and prizes'/season (Toyota); NASCAR All-Star $1M-to-win ~41% share; Indy 500 winner 18-23%, all 33 paid; Eldora Million winner 71%; LIV last place $50K floor.</t>
        </is>
      </c>
    </row>
    <row r="16" ht="30" customHeight="1">
      <c r="A16" s="24" t="inlineStr">
        <is>
          <t>FULL SOURCE URLS: see the three research digests filed 2026-07-26 (insurance/timing, travel/freight, track/hospitality) + two digests 2026-07-27 (launch-marketing benchmarks, purse benchmarks) — session transcripts in ops planning thread.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H7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6" customWidth="1" min="8" max="8"/>
  </cols>
  <sheetData>
    <row r="2" ht="26" customHeight="1">
      <c r="B2" s="25" t="inlineStr">
        <is>
          <t>CAP TABLE SCENARIOS — WHAT A CHECK BUYS</t>
        </is>
      </c>
    </row>
    <row r="3">
      <c r="B3" s="27" t="inlineStr">
        <is>
          <t>Illustrative only — pricing is a negotiation; nothing here is a term sheet. Yellow cells are assumptions: edit them and every number below re-derives.</t>
        </is>
      </c>
    </row>
    <row r="5">
      <c r="B5" s="28" t="inlineStr">
        <is>
          <t>SCENARIO A &amp; B — THE WHOLE $100M PRICED AS ONE INSTRUMENT</t>
        </is>
      </c>
    </row>
    <row r="6">
      <c r="B6" s="30" t="inlineStr">
        <is>
          <t>Scenario</t>
        </is>
      </c>
      <c r="C6" s="30" t="inlineStr">
        <is>
          <t>Raise</t>
        </is>
      </c>
      <c r="D6" s="30" t="inlineStr">
        <is>
          <t>Post-money</t>
        </is>
      </c>
      <c r="E6" s="30" t="inlineStr">
        <is>
          <t>Round owns</t>
        </is>
      </c>
      <c r="F6" s="30" t="inlineStr">
        <is>
          <t>Founder keeps</t>
        </is>
      </c>
      <c r="G6" s="30" t="inlineStr">
        <is>
          <t>$1M buys</t>
        </is>
      </c>
      <c r="H6" s="30" t="inlineStr"/>
    </row>
    <row r="7">
      <c r="B7" s="31" t="inlineStr">
        <is>
          <t>A — investor-friendly</t>
        </is>
      </c>
      <c r="C7" s="32" t="n">
        <v>100000000</v>
      </c>
      <c r="D7" s="33" t="n">
        <v>150000000</v>
      </c>
      <c r="E7" s="34">
        <f>C7/D7</f>
        <v/>
      </c>
      <c r="F7" s="34">
        <f>1-E7</f>
        <v/>
      </c>
      <c r="G7" s="35">
        <f>1000000/D7</f>
        <v/>
      </c>
    </row>
    <row r="8">
      <c r="B8" s="31" t="inlineStr">
        <is>
          <t>B — property-thesis pricing</t>
        </is>
      </c>
      <c r="C8" s="32" t="n">
        <v>100000000</v>
      </c>
      <c r="D8" s="33" t="n">
        <v>225000000</v>
      </c>
      <c r="E8" s="34">
        <f>C8/D8</f>
        <v/>
      </c>
      <c r="F8" s="34">
        <f>1-E8</f>
        <v/>
      </c>
      <c r="G8" s="35">
        <f>1000000/D8</f>
        <v/>
      </c>
    </row>
    <row r="10">
      <c r="B10" s="28" t="inlineStr">
        <is>
          <t>SCENARIO C (RECOMMENDED) — FIVE TRANCHES, PRICED AS THE MACHINE PROVES OUT</t>
        </is>
      </c>
    </row>
    <row r="11">
      <c r="B11" s="30" t="inlineStr">
        <is>
          <t>Tranche / year</t>
        </is>
      </c>
      <c r="C11" s="30" t="inlineStr">
        <is>
          <t>Raise</t>
        </is>
      </c>
      <c r="D11" s="30" t="inlineStr">
        <is>
          <t>Pre-money (edit)</t>
        </is>
      </c>
      <c r="E11" s="30" t="inlineStr">
        <is>
          <t>Post-money</t>
        </is>
      </c>
      <c r="F11" s="30" t="inlineStr">
        <is>
          <t>New investors get</t>
        </is>
      </c>
      <c r="G11" s="30" t="inlineStr">
        <is>
          <t>Dilution factor</t>
        </is>
      </c>
      <c r="H11" s="30" t="inlineStr">
        <is>
          <t>Founder after</t>
        </is>
      </c>
    </row>
    <row r="12">
      <c r="B12" s="31" t="inlineStr">
        <is>
          <t>T1 · 2027 — Launch</t>
        </is>
      </c>
      <c r="C12" s="36" t="n">
        <v>12000000</v>
      </c>
      <c r="D12" s="33" t="n">
        <v>30000000</v>
      </c>
      <c r="E12" s="36">
        <f>C12+D12</f>
        <v/>
      </c>
      <c r="F12" s="34">
        <f>C12/E12</f>
        <v/>
      </c>
      <c r="G12" s="34">
        <f>D12/E12</f>
        <v/>
      </c>
      <c r="H12" s="37">
        <f>G12</f>
        <v/>
      </c>
    </row>
    <row r="13">
      <c r="B13" s="31" t="inlineStr">
        <is>
          <t>T2 · 2028 — Amplify</t>
        </is>
      </c>
      <c r="C13" s="36" t="n">
        <v>16000000</v>
      </c>
      <c r="D13" s="33" t="n">
        <v>80000000</v>
      </c>
      <c r="E13" s="36">
        <f>C13+D13</f>
        <v/>
      </c>
      <c r="F13" s="34">
        <f>C13/E13</f>
        <v/>
      </c>
      <c r="G13" s="34">
        <f>D13/E13</f>
        <v/>
      </c>
      <c r="H13" s="37">
        <f>H12*G13</f>
        <v/>
      </c>
    </row>
    <row r="14">
      <c r="B14" s="31" t="inlineStr">
        <is>
          <t>T3 · 2029 — Full program</t>
        </is>
      </c>
      <c r="C14" s="36" t="n">
        <v>20000000</v>
      </c>
      <c r="D14" s="33" t="n">
        <v>150000000</v>
      </c>
      <c r="E14" s="36">
        <f>C14+D14</f>
        <v/>
      </c>
      <c r="F14" s="34">
        <f>C14/E14</f>
        <v/>
      </c>
      <c r="G14" s="34">
        <f>D14/E14</f>
        <v/>
      </c>
      <c r="H14" s="37">
        <f>H13*G14</f>
        <v/>
      </c>
    </row>
    <row r="15">
      <c r="B15" s="31" t="inlineStr">
        <is>
          <t>T4 · 2030 — Expand</t>
        </is>
      </c>
      <c r="C15" s="36" t="n">
        <v>24000000</v>
      </c>
      <c r="D15" s="33" t="n">
        <v>250000000</v>
      </c>
      <c r="E15" s="36">
        <f>C15+D15</f>
        <v/>
      </c>
      <c r="F15" s="34">
        <f>C15/E15</f>
        <v/>
      </c>
      <c r="G15" s="34">
        <f>D15/E15</f>
        <v/>
      </c>
      <c r="H15" s="37">
        <f>H14*G15</f>
        <v/>
      </c>
    </row>
    <row r="16">
      <c r="B16" s="31" t="inlineStr">
        <is>
          <t>T5 · 2031 — Franchise</t>
        </is>
      </c>
      <c r="C16" s="36" t="n">
        <v>28000000</v>
      </c>
      <c r="D16" s="33" t="n">
        <v>400000000</v>
      </c>
      <c r="E16" s="36">
        <f>C16+D16</f>
        <v/>
      </c>
      <c r="F16" s="34">
        <f>C16/E16</f>
        <v/>
      </c>
      <c r="G16" s="34">
        <f>D16/E16</f>
        <v/>
      </c>
      <c r="H16" s="37">
        <f>H15*G16</f>
        <v/>
      </c>
    </row>
    <row r="18">
      <c r="B18" s="28" t="inlineStr">
        <is>
          <t>THE $1M CHECK — WRITTEN INTO TRANCHE ONE</t>
        </is>
      </c>
    </row>
    <row r="19">
      <c r="B19" s="31" t="inlineStr">
        <is>
          <t>Entry stake at T1 close</t>
        </is>
      </c>
      <c r="C19" s="35">
        <f>1000000/E12</f>
        <v/>
      </c>
    </row>
    <row r="20">
      <c r="B20" s="31" t="inlineStr">
        <is>
          <t>Fully diluted after all five tranches</t>
        </is>
      </c>
      <c r="C20" s="35">
        <f>(1000000/E12)*G13*G14*G15*G16</f>
        <v/>
      </c>
    </row>
    <row r="21">
      <c r="B21" s="31" t="inlineStr">
        <is>
          <t>Paper value of that stake at T5 post-money</t>
        </is>
      </c>
      <c r="C21" s="38">
        <f>C20*E16</f>
        <v/>
      </c>
    </row>
    <row r="23">
      <c r="B23" s="27" t="inlineStr">
        <is>
          <t>Alternative for sub-$5M checks: founding-member units (equity + seat priority + paddock status + franchise ROFR) via a feeder SPV — keeps the cap table clean and can be worth more to the writer than the bare percentage.</t>
        </is>
      </c>
    </row>
    <row r="25">
      <c r="B25" s="27" t="inlineStr">
        <is>
          <t>Mechanics: each tranche dilutes existing holders by pre/post; founder line assumes founder holds 100% before T1 and takes no other dilution (no ESOP modeled — add one before papering).</t>
        </is>
      </c>
    </row>
    <row r="26"/>
    <row r="27">
      <c r="B27" s="28" t="inlineStr">
        <is>
          <t>SCENARIO D — LEAD / ANCHOR: FIXED-PERCENTAGE PROGRAM (FOUNDER 60% FLOOR)</t>
        </is>
      </c>
    </row>
    <row r="28">
      <c r="B28" s="27" t="inlineStr">
        <is>
          <t>Lead investor receives fixed equity per funded tranche — no valuation caps, no repricing; the lead knows its final ownership on day one. Yellow cells are the negotiation surface.</t>
        </is>
      </c>
    </row>
    <row r="29">
      <c r="B29" s="39" t="inlineStr">
        <is>
          <t>Tranche / year</t>
        </is>
      </c>
      <c r="C29" s="39" t="inlineStr">
        <is>
          <t>Capital</t>
        </is>
      </c>
      <c r="D29" s="39" t="inlineStr">
        <is>
          <t>Equity delivered (edit)</t>
        </is>
      </c>
      <c r="E29" s="39" t="inlineStr">
        <is>
          <t>Implied post-money</t>
        </is>
      </c>
    </row>
    <row r="30">
      <c r="B30" s="40" t="inlineStr">
        <is>
          <t>T1 · 2027 — Launch</t>
        </is>
      </c>
      <c r="C30" s="41" t="n">
        <v>12000000</v>
      </c>
      <c r="D30" s="42" t="n">
        <v>0.08</v>
      </c>
      <c r="E30" s="41">
        <f>C30/D30</f>
        <v/>
      </c>
    </row>
    <row r="31">
      <c r="B31" s="40" t="inlineStr">
        <is>
          <t>T2 · 2028 — Amplify</t>
        </is>
      </c>
      <c r="C31" s="41" t="n">
        <v>16000000</v>
      </c>
      <c r="D31" s="42" t="n">
        <v>0.065</v>
      </c>
      <c r="E31" s="41">
        <f>C31/D31</f>
        <v/>
      </c>
    </row>
    <row r="32">
      <c r="B32" s="40" t="inlineStr">
        <is>
          <t>T3 · 2029 — Full program</t>
        </is>
      </c>
      <c r="C32" s="41" t="n">
        <v>20000000</v>
      </c>
      <c r="D32" s="42" t="n">
        <v>0.055</v>
      </c>
      <c r="E32" s="41">
        <f>C32/D32</f>
        <v/>
      </c>
    </row>
    <row r="33">
      <c r="B33" s="40" t="inlineStr">
        <is>
          <t>T4 · 2030 — Expand</t>
        </is>
      </c>
      <c r="C33" s="41" t="n">
        <v>24000000</v>
      </c>
      <c r="D33" s="42" t="n">
        <v>0.045</v>
      </c>
      <c r="E33" s="41">
        <f>C33/D33</f>
        <v/>
      </c>
    </row>
    <row r="34">
      <c r="B34" s="40" t="inlineStr">
        <is>
          <t>T5 · 2031 — Franchise</t>
        </is>
      </c>
      <c r="C34" s="41" t="n">
        <v>28000000</v>
      </c>
      <c r="D34" s="42" t="n">
        <v>0.035</v>
      </c>
      <c r="E34" s="41">
        <f>C34/D34</f>
        <v/>
      </c>
    </row>
    <row r="35">
      <c r="B35" s="40" t="inlineStr">
        <is>
          <t>Total — blended</t>
        </is>
      </c>
      <c r="C35" s="41">
        <f>SUM(C30:C34)</f>
        <v/>
      </c>
      <c r="D35" s="43">
        <f>SUM(D30:D34)</f>
        <v/>
      </c>
      <c r="E35" s="41">
        <f>C35/D35</f>
        <v/>
      </c>
    </row>
    <row r="37">
      <c r="B37" s="28" t="inlineStr">
        <is>
          <t>CAP TABLE AT FULL DEPLOYMENT</t>
        </is>
      </c>
    </row>
    <row r="38">
      <c r="B38" s="40" t="inlineStr">
        <is>
          <t>Founder (floor — edit)</t>
        </is>
      </c>
      <c r="C38" s="42" t="n">
        <v>0.6</v>
      </c>
    </row>
    <row r="39">
      <c r="B39" s="40" t="inlineStr">
        <is>
          <t>Lead investor</t>
        </is>
      </c>
      <c r="C39" s="43">
        <f>D35</f>
        <v/>
      </c>
    </row>
    <row r="40">
      <c r="B40" s="40" t="inlineStr">
        <is>
          <t>Team option pool (edit)</t>
        </is>
      </c>
      <c r="C40" s="42" t="n">
        <v>0.05</v>
      </c>
    </row>
    <row r="41">
      <c r="B41" s="40" t="inlineStr">
        <is>
          <t>Follow-on reserve (derived)</t>
        </is>
      </c>
      <c r="C41" s="43">
        <f>1-C38-C39-C40</f>
        <v/>
      </c>
    </row>
    <row r="43">
      <c r="B43" s="27" t="inlineStr">
        <is>
          <t>Mechanics: add-on capital raised in the 90-day post-lead syndication window issues first from the follow-on reserve, then pro rata across the investor pool; the founder holds the 60% floor throughout. Optional early payback of lead capital is funded exclusively from over-subscription above the $100M program target — base program dollars all land in the championship. Related-party or strategic leads require independent valuation at definitive documentation.</t>
        </is>
      </c>
    </row>
    <row r="45">
      <c r="B45" s="28" t="inlineStr">
        <is>
          <t>SCENARIO E — THE $1B ROUND: $300M FOR 30% (LEAD-PREMIUM STRUCTURE)</t>
        </is>
      </c>
    </row>
    <row r="46">
      <c r="B46" s="27" t="inlineStr">
        <is>
          <t>Target: $300M closed for 30% = implied $1.0B post-money at full deployment — the largest raise ever completed for a new racing series (none has closed $100M). Founder 60% floor and ESOP 5% hold; follow-on reserve trims 7%-&gt;5% to source the extra 2 points. Lead prices ~2.5x better than the co-anchor (first-risk premium). Yellow lead-% cells are the negotiation surface. Early payback of lead capital funds exclusively from over-subscription above target.</t>
        </is>
      </c>
    </row>
    <row r="47"/>
    <row r="48">
      <c r="B48" s="28" t="inlineStr">
        <is>
          <t>E1 · ANCHOR LEADS — CO-ANCHOR FOLLOWS</t>
        </is>
      </c>
    </row>
    <row r="49">
      <c r="B49" s="39" t="inlineStr">
        <is>
          <t>Investor</t>
        </is>
      </c>
      <c r="C49" s="39" t="inlineStr">
        <is>
          <t>Capital</t>
        </is>
      </c>
      <c r="D49" s="39" t="inlineStr">
        <is>
          <t>Equity</t>
        </is>
      </c>
      <c r="E49" s="39" t="inlineStr">
        <is>
          <t>$ per 1%</t>
        </is>
      </c>
    </row>
    <row r="50">
      <c r="B50" s="40" t="inlineStr">
        <is>
          <t>Anchor lead</t>
        </is>
      </c>
      <c r="C50" s="44" t="n">
        <v>100000000</v>
      </c>
      <c r="D50" s="42" t="n">
        <v>0.1667</v>
      </c>
      <c r="E50" s="44">
        <f>C50/(D50*100)</f>
        <v/>
      </c>
    </row>
    <row r="51">
      <c r="B51" s="40" t="inlineStr">
        <is>
          <t>Co-anchor</t>
        </is>
      </c>
      <c r="C51" s="44" t="n">
        <v>200000000</v>
      </c>
      <c r="D51" s="43">
        <f>(0.30-D50)*C51/(C51)</f>
        <v/>
      </c>
      <c r="E51" s="44">
        <f>C51/(D51*100)</f>
        <v/>
      </c>
    </row>
    <row r="52">
      <c r="B52" s="40" t="inlineStr">
        <is>
          <t>Total — blended</t>
        </is>
      </c>
      <c r="C52" s="44">
        <f>SUM(C50:C51)</f>
        <v/>
      </c>
      <c r="D52" s="43">
        <f>SUM(D50:D51)</f>
        <v/>
      </c>
      <c r="E52" s="44">
        <f>C52/D52</f>
        <v/>
      </c>
      <c r="F52" s="27" t="inlineStr">
        <is>
          <t>&lt;- implied post-money</t>
        </is>
      </c>
    </row>
    <row r="53">
      <c r="C53" s="45" t="n"/>
      <c r="D53" s="18" t="n"/>
      <c r="E53" s="45" t="n"/>
    </row>
    <row r="54">
      <c r="B54" s="28" t="inlineStr">
        <is>
          <t>E2 · CO-ANCHOR TAKES THE LEAD SLOT</t>
        </is>
      </c>
    </row>
    <row r="55">
      <c r="B55" s="39" t="inlineStr">
        <is>
          <t>Investor</t>
        </is>
      </c>
      <c r="C55" s="39" t="inlineStr">
        <is>
          <t>Capital</t>
        </is>
      </c>
      <c r="D55" s="39" t="inlineStr">
        <is>
          <t>Equity</t>
        </is>
      </c>
      <c r="E55" s="39" t="inlineStr">
        <is>
          <t>$ per 1%</t>
        </is>
      </c>
    </row>
    <row r="56">
      <c r="B56" s="40" t="inlineStr">
        <is>
          <t>Co-anchor (as lead)</t>
        </is>
      </c>
      <c r="C56" s="44" t="n">
        <v>200000000</v>
      </c>
      <c r="D56" s="42" t="n">
        <v>0.25</v>
      </c>
      <c r="E56" s="44">
        <f>C56/(D56*100)</f>
        <v/>
      </c>
    </row>
    <row r="57">
      <c r="B57" s="40" t="inlineStr">
        <is>
          <t>Original anchor</t>
        </is>
      </c>
      <c r="C57" s="44" t="n">
        <v>100000000</v>
      </c>
      <c r="D57" s="43">
        <f>(0.30-D56)*C57/(C57)</f>
        <v/>
      </c>
      <c r="E57" s="44">
        <f>C57/(D57*100)</f>
        <v/>
      </c>
    </row>
    <row r="58">
      <c r="B58" s="40" t="inlineStr">
        <is>
          <t>Total — blended</t>
        </is>
      </c>
      <c r="C58" s="44">
        <f>SUM(C56:C57)</f>
        <v/>
      </c>
      <c r="D58" s="43">
        <f>SUM(D56:D57)</f>
        <v/>
      </c>
      <c r="E58" s="44">
        <f>C58/D58</f>
        <v/>
      </c>
      <c r="F58" s="27" t="inlineStr">
        <is>
          <t>&lt;- implied post-money</t>
        </is>
      </c>
    </row>
    <row r="59">
      <c r="C59" s="45" t="n"/>
      <c r="D59" s="18" t="n"/>
      <c r="E59" s="45" t="n"/>
    </row>
    <row r="60">
      <c r="B60" s="27" t="inlineStr">
        <is>
          <t>CAP TABLE AT CLOSE (both grids): Founder 60% · Investors 30% · ESOP 5% · Follow-on reserve 5%. The lead slot carries the Scenario D fixed-percentage tranche program and the strategic anchor package — its economics travel with the slot, whichever party holds it.</t>
        </is>
      </c>
      <c r="C60" s="45" t="n"/>
      <c r="D60" s="18" t="n"/>
      <c r="E60" s="45" t="n"/>
    </row>
    <row r="61"/>
    <row r="62"/>
    <row r="63"/>
    <row r="64">
      <c r="C64" s="45" t="n"/>
      <c r="D64" s="18" t="n"/>
      <c r="E64" s="45" t="n"/>
    </row>
    <row r="65">
      <c r="C65" s="45" t="n"/>
      <c r="D65" s="18" t="n"/>
      <c r="E65" s="45" t="n"/>
    </row>
    <row r="66">
      <c r="C66" s="45" t="n"/>
      <c r="D66" s="18" t="n"/>
      <c r="E66" s="45" t="n"/>
    </row>
    <row r="67"/>
    <row r="68"/>
    <row r="69"/>
    <row r="70"/>
    <row r="71"/>
    <row r="72"/>
  </sheetData>
  <mergeCells count="7">
    <mergeCell ref="B18:H18"/>
    <mergeCell ref="B2:H2"/>
    <mergeCell ref="B10:H10"/>
    <mergeCell ref="B25:H25"/>
    <mergeCell ref="B3:H3"/>
    <mergeCell ref="B5:H5"/>
    <mergeCell ref="B23:H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2026-07-30T19:41:14Z</dcterms:created>
  <dcterms:modified xmlns:dcterms="http://purl.org/dc/terms/" xmlns:xsi="http://www.w3.org/2001/XMLSchema-instance" xsi:type="dcterms:W3CDTF">2026-08-16T00:39:44Z</dcterms:modified>
</cp:coreProperties>
</file>